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slicers/slicer3.xml" ContentType="application/vnd.ms-excel.slicer+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kram\Google Drive\My Courses (UDEMY and others)\كيف تنظم مصروفك باستخدام الاكسل\01 تسجيل فيديو\01-02 مقدمة\"/>
    </mc:Choice>
  </mc:AlternateContent>
  <bookViews>
    <workbookView xWindow="240" yWindow="168" windowWidth="20736" windowHeight="9912" tabRatio="747"/>
  </bookViews>
  <sheets>
    <sheet name="إعدادات الصناديق" sheetId="33" r:id="rId1"/>
    <sheet name="الحركات" sheetId="34" r:id="rId2"/>
    <sheet name="12 شهرا" sheetId="36" r:id="rId3"/>
    <sheet name="الوضع في شهر" sheetId="37" r:id="rId4"/>
    <sheet name="الارصدة الفعلية" sheetId="38" r:id="rId5"/>
    <sheet name="الإعدادات" sheetId="35" r:id="rId6"/>
  </sheets>
  <definedNames>
    <definedName name="Sanadeq">#REF!</definedName>
    <definedName name="Slicer_الصندوق">#N/A</definedName>
    <definedName name="Slicer_رصيد_صفر?">#N/A</definedName>
    <definedName name="Slicer_نوعه">#N/A</definedName>
    <definedName name="Slicer_نوعه1">#N/A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5:slicerCaches>
    </ext>
  </extLst>
</workbook>
</file>

<file path=xl/calcChain.xml><?xml version="1.0" encoding="utf-8"?>
<calcChain xmlns="http://schemas.openxmlformats.org/spreadsheetml/2006/main">
  <c r="G493" i="34" l="1"/>
  <c r="M493" i="34"/>
  <c r="N493" i="34"/>
  <c r="O493" i="34"/>
  <c r="G492" i="34"/>
  <c r="M492" i="34"/>
  <c r="N492" i="34"/>
  <c r="O492" i="34"/>
  <c r="M264" i="34" l="1"/>
  <c r="M265" i="34"/>
  <c r="M266" i="34"/>
  <c r="M267" i="34"/>
  <c r="M268" i="34"/>
  <c r="M269" i="34"/>
  <c r="M270" i="34"/>
  <c r="M271" i="34"/>
  <c r="M272" i="34"/>
  <c r="M273" i="34"/>
  <c r="M274" i="34"/>
  <c r="M275" i="34"/>
  <c r="M276" i="34"/>
  <c r="M277" i="34"/>
  <c r="M278" i="34"/>
  <c r="M279" i="34"/>
  <c r="M280" i="34"/>
  <c r="M281" i="34"/>
  <c r="M282" i="34"/>
  <c r="M283" i="34"/>
  <c r="M284" i="34"/>
  <c r="M285" i="34"/>
  <c r="M286" i="34"/>
  <c r="M287" i="34"/>
  <c r="M288" i="34"/>
  <c r="M289" i="34"/>
  <c r="M290" i="34"/>
  <c r="M291" i="34"/>
  <c r="M292" i="34"/>
  <c r="M293" i="34"/>
  <c r="M294" i="34"/>
  <c r="M295" i="34"/>
  <c r="M296" i="34"/>
  <c r="M297" i="34"/>
  <c r="M298" i="34"/>
  <c r="M299" i="34"/>
  <c r="M300" i="34"/>
  <c r="M301" i="34"/>
  <c r="M302" i="34"/>
  <c r="M303" i="34"/>
  <c r="M304" i="34"/>
  <c r="M305" i="34"/>
  <c r="M306" i="34"/>
  <c r="M307" i="34"/>
  <c r="M308" i="34"/>
  <c r="M309" i="34"/>
  <c r="M310" i="34"/>
  <c r="M311" i="34"/>
  <c r="M312" i="34"/>
  <c r="M313" i="34"/>
  <c r="M314" i="34"/>
  <c r="M315" i="34"/>
  <c r="M316" i="34"/>
  <c r="M317" i="34"/>
  <c r="M318" i="34"/>
  <c r="M319" i="34"/>
  <c r="M320" i="34"/>
  <c r="M321" i="34"/>
  <c r="M322" i="34"/>
  <c r="M323" i="34"/>
  <c r="M324" i="34"/>
  <c r="M325" i="34"/>
  <c r="M326" i="34"/>
  <c r="M327" i="34"/>
  <c r="M328" i="34"/>
  <c r="M329" i="34"/>
  <c r="M330" i="34"/>
  <c r="M331" i="34"/>
  <c r="M332" i="34"/>
  <c r="M333" i="34"/>
  <c r="M334" i="34"/>
  <c r="M335" i="34"/>
  <c r="M336" i="34"/>
  <c r="M337" i="34"/>
  <c r="M338" i="34"/>
  <c r="M339" i="34"/>
  <c r="M340" i="34"/>
  <c r="M341" i="34"/>
  <c r="M342" i="34"/>
  <c r="M343" i="34"/>
  <c r="M344" i="34"/>
  <c r="M345" i="34"/>
  <c r="M346" i="34"/>
  <c r="M347" i="34"/>
  <c r="M348" i="34"/>
  <c r="M349" i="34"/>
  <c r="M350" i="34"/>
  <c r="M351" i="34"/>
  <c r="M352" i="34"/>
  <c r="M353" i="34"/>
  <c r="M354" i="34"/>
  <c r="M355" i="34"/>
  <c r="M356" i="34"/>
  <c r="M357" i="34"/>
  <c r="M358" i="34"/>
  <c r="M359" i="34"/>
  <c r="M360" i="34"/>
  <c r="M361" i="34"/>
  <c r="M362" i="34"/>
  <c r="M363" i="34"/>
  <c r="M364" i="34"/>
  <c r="M365" i="34"/>
  <c r="M366" i="34"/>
  <c r="M367" i="34"/>
  <c r="M368" i="34"/>
  <c r="M369" i="34"/>
  <c r="M370" i="34"/>
  <c r="M371" i="34"/>
  <c r="M372" i="34"/>
  <c r="M373" i="34"/>
  <c r="M374" i="34"/>
  <c r="M375" i="34"/>
  <c r="M376" i="34"/>
  <c r="M377" i="34"/>
  <c r="M378" i="34"/>
  <c r="M379" i="34"/>
  <c r="M380" i="34"/>
  <c r="M381" i="34"/>
  <c r="M382" i="34"/>
  <c r="M383" i="34"/>
  <c r="M384" i="34"/>
  <c r="M385" i="34"/>
  <c r="M386" i="34"/>
  <c r="M387" i="34"/>
  <c r="M388" i="34"/>
  <c r="M389" i="34"/>
  <c r="M390" i="34"/>
  <c r="M391" i="34"/>
  <c r="M392" i="34"/>
  <c r="M393" i="34"/>
  <c r="M394" i="34"/>
  <c r="M395" i="34"/>
  <c r="M396" i="34"/>
  <c r="M397" i="34"/>
  <c r="M398" i="34"/>
  <c r="M399" i="34"/>
  <c r="M400" i="34"/>
  <c r="M401" i="34"/>
  <c r="M402" i="34"/>
  <c r="M403" i="34"/>
  <c r="M404" i="34"/>
  <c r="M405" i="34"/>
  <c r="M406" i="34"/>
  <c r="M407" i="34"/>
  <c r="M408" i="34"/>
  <c r="M409" i="34"/>
  <c r="M410" i="34"/>
  <c r="M411" i="34"/>
  <c r="M412" i="34"/>
  <c r="M413" i="34"/>
  <c r="M414" i="34"/>
  <c r="M415" i="34"/>
  <c r="M416" i="34"/>
  <c r="M417" i="34"/>
  <c r="M418" i="34"/>
  <c r="M419" i="34"/>
  <c r="M420" i="34"/>
  <c r="M421" i="34"/>
  <c r="M422" i="34"/>
  <c r="M423" i="34"/>
  <c r="M424" i="34"/>
  <c r="M425" i="34"/>
  <c r="M426" i="34"/>
  <c r="M427" i="34"/>
  <c r="M428" i="34"/>
  <c r="M429" i="34"/>
  <c r="M430" i="34"/>
  <c r="M431" i="34"/>
  <c r="M432" i="34"/>
  <c r="M433" i="34"/>
  <c r="M434" i="34"/>
  <c r="M435" i="34"/>
  <c r="M436" i="34"/>
  <c r="M437" i="34"/>
  <c r="M438" i="34"/>
  <c r="M439" i="34"/>
  <c r="M440" i="34"/>
  <c r="M441" i="34"/>
  <c r="M442" i="34"/>
  <c r="M443" i="34"/>
  <c r="M444" i="34"/>
  <c r="M445" i="34"/>
  <c r="M446" i="34"/>
  <c r="M447" i="34"/>
  <c r="M448" i="34"/>
  <c r="M449" i="34"/>
  <c r="M450" i="34"/>
  <c r="M451" i="34"/>
  <c r="M452" i="34"/>
  <c r="M453" i="34"/>
  <c r="M454" i="34"/>
  <c r="M455" i="34"/>
  <c r="M456" i="34"/>
  <c r="M457" i="34"/>
  <c r="M458" i="34"/>
  <c r="M459" i="34"/>
  <c r="M460" i="34"/>
  <c r="M461" i="34"/>
  <c r="M462" i="34"/>
  <c r="M463" i="34"/>
  <c r="M464" i="34"/>
  <c r="M465" i="34"/>
  <c r="M466" i="34"/>
  <c r="M467" i="34"/>
  <c r="M468" i="34"/>
  <c r="M469" i="34"/>
  <c r="M470" i="34"/>
  <c r="M471" i="34"/>
  <c r="M472" i="34"/>
  <c r="M473" i="34"/>
  <c r="M474" i="34"/>
  <c r="M475" i="34"/>
  <c r="M476" i="34"/>
  <c r="M477" i="34"/>
  <c r="M478" i="34"/>
  <c r="M479" i="34"/>
  <c r="M480" i="34"/>
  <c r="M481" i="34"/>
  <c r="M482" i="34"/>
  <c r="M483" i="34"/>
  <c r="M484" i="34"/>
  <c r="M485" i="34"/>
  <c r="M486" i="34"/>
  <c r="M487" i="34"/>
  <c r="M488" i="34"/>
  <c r="M489" i="34"/>
  <c r="M490" i="34"/>
  <c r="M491" i="34"/>
  <c r="N264" i="34"/>
  <c r="N265" i="34"/>
  <c r="N266" i="34"/>
  <c r="N267" i="34"/>
  <c r="N268" i="34"/>
  <c r="N269" i="34"/>
  <c r="N270" i="34"/>
  <c r="N271" i="34"/>
  <c r="N272" i="34"/>
  <c r="N273" i="34"/>
  <c r="N274" i="34"/>
  <c r="N275" i="34"/>
  <c r="N276" i="34"/>
  <c r="N277" i="34"/>
  <c r="N278" i="34"/>
  <c r="N279" i="34"/>
  <c r="N280" i="34"/>
  <c r="N281" i="34"/>
  <c r="N282" i="34"/>
  <c r="N283" i="34"/>
  <c r="N284" i="34"/>
  <c r="N285" i="34"/>
  <c r="N286" i="34"/>
  <c r="N287" i="34"/>
  <c r="N288" i="34"/>
  <c r="N289" i="34"/>
  <c r="N290" i="34"/>
  <c r="N291" i="34"/>
  <c r="N292" i="34"/>
  <c r="N293" i="34"/>
  <c r="N294" i="34"/>
  <c r="N295" i="34"/>
  <c r="N296" i="34"/>
  <c r="N297" i="34"/>
  <c r="N298" i="34"/>
  <c r="N299" i="34"/>
  <c r="N300" i="34"/>
  <c r="N301" i="34"/>
  <c r="N302" i="34"/>
  <c r="N303" i="34"/>
  <c r="N304" i="34"/>
  <c r="N305" i="34"/>
  <c r="N306" i="34"/>
  <c r="N307" i="34"/>
  <c r="N308" i="34"/>
  <c r="N309" i="34"/>
  <c r="N310" i="34"/>
  <c r="N311" i="34"/>
  <c r="N312" i="34"/>
  <c r="N313" i="34"/>
  <c r="N314" i="34"/>
  <c r="N315" i="34"/>
  <c r="N316" i="34"/>
  <c r="N317" i="34"/>
  <c r="N318" i="34"/>
  <c r="N319" i="34"/>
  <c r="N320" i="34"/>
  <c r="N321" i="34"/>
  <c r="N322" i="34"/>
  <c r="N323" i="34"/>
  <c r="N324" i="34"/>
  <c r="N325" i="34"/>
  <c r="N326" i="34"/>
  <c r="N327" i="34"/>
  <c r="N328" i="34"/>
  <c r="N329" i="34"/>
  <c r="N330" i="34"/>
  <c r="N331" i="34"/>
  <c r="N332" i="34"/>
  <c r="N333" i="34"/>
  <c r="N334" i="34"/>
  <c r="N335" i="34"/>
  <c r="N336" i="34"/>
  <c r="N337" i="34"/>
  <c r="N338" i="34"/>
  <c r="N339" i="34"/>
  <c r="N340" i="34"/>
  <c r="N341" i="34"/>
  <c r="N342" i="34"/>
  <c r="N343" i="34"/>
  <c r="N344" i="34"/>
  <c r="N345" i="34"/>
  <c r="N346" i="34"/>
  <c r="N347" i="34"/>
  <c r="N348" i="34"/>
  <c r="N349" i="34"/>
  <c r="N350" i="34"/>
  <c r="N351" i="34"/>
  <c r="N352" i="34"/>
  <c r="N353" i="34"/>
  <c r="N354" i="34"/>
  <c r="N355" i="34"/>
  <c r="N356" i="34"/>
  <c r="N357" i="34"/>
  <c r="N358" i="34"/>
  <c r="N359" i="34"/>
  <c r="N360" i="34"/>
  <c r="N361" i="34"/>
  <c r="N362" i="34"/>
  <c r="N363" i="34"/>
  <c r="N364" i="34"/>
  <c r="N365" i="34"/>
  <c r="N366" i="34"/>
  <c r="N367" i="34"/>
  <c r="N368" i="34"/>
  <c r="N369" i="34"/>
  <c r="N370" i="34"/>
  <c r="N371" i="34"/>
  <c r="N372" i="34"/>
  <c r="N373" i="34"/>
  <c r="N374" i="34"/>
  <c r="N375" i="34"/>
  <c r="N376" i="34"/>
  <c r="N377" i="34"/>
  <c r="N378" i="34"/>
  <c r="N379" i="34"/>
  <c r="N380" i="34"/>
  <c r="N381" i="34"/>
  <c r="N382" i="34"/>
  <c r="N383" i="34"/>
  <c r="N384" i="34"/>
  <c r="N385" i="34"/>
  <c r="N386" i="34"/>
  <c r="N387" i="34"/>
  <c r="N388" i="34"/>
  <c r="N389" i="34"/>
  <c r="N390" i="34"/>
  <c r="N391" i="34"/>
  <c r="N392" i="34"/>
  <c r="N393" i="34"/>
  <c r="N394" i="34"/>
  <c r="N395" i="34"/>
  <c r="N396" i="34"/>
  <c r="N397" i="34"/>
  <c r="N398" i="34"/>
  <c r="N399" i="34"/>
  <c r="N400" i="34"/>
  <c r="N401" i="34"/>
  <c r="N402" i="34"/>
  <c r="N403" i="34"/>
  <c r="N404" i="34"/>
  <c r="N405" i="34"/>
  <c r="N406" i="34"/>
  <c r="N407" i="34"/>
  <c r="N408" i="34"/>
  <c r="N409" i="34"/>
  <c r="N410" i="34"/>
  <c r="N411" i="34"/>
  <c r="N412" i="34"/>
  <c r="N413" i="34"/>
  <c r="N414" i="34"/>
  <c r="N415" i="34"/>
  <c r="N416" i="34"/>
  <c r="N417" i="34"/>
  <c r="N418" i="34"/>
  <c r="N419" i="34"/>
  <c r="N420" i="34"/>
  <c r="N421" i="34"/>
  <c r="N422" i="34"/>
  <c r="N423" i="34"/>
  <c r="N424" i="34"/>
  <c r="N425" i="34"/>
  <c r="N426" i="34"/>
  <c r="N427" i="34"/>
  <c r="N428" i="34"/>
  <c r="N429" i="34"/>
  <c r="N430" i="34"/>
  <c r="N431" i="34"/>
  <c r="N432" i="34"/>
  <c r="N433" i="34"/>
  <c r="N434" i="34"/>
  <c r="N435" i="34"/>
  <c r="N436" i="34"/>
  <c r="N437" i="34"/>
  <c r="N438" i="34"/>
  <c r="N439" i="34"/>
  <c r="N440" i="34"/>
  <c r="N441" i="34"/>
  <c r="N442" i="34"/>
  <c r="N443" i="34"/>
  <c r="N444" i="34"/>
  <c r="N445" i="34"/>
  <c r="N446" i="34"/>
  <c r="N447" i="34"/>
  <c r="N448" i="34"/>
  <c r="N449" i="34"/>
  <c r="N450" i="34"/>
  <c r="N451" i="34"/>
  <c r="N452" i="34"/>
  <c r="N453" i="34"/>
  <c r="N454" i="34"/>
  <c r="N455" i="34"/>
  <c r="N456" i="34"/>
  <c r="N457" i="34"/>
  <c r="N458" i="34"/>
  <c r="N459" i="34"/>
  <c r="N460" i="34"/>
  <c r="N461" i="34"/>
  <c r="N462" i="34"/>
  <c r="N463" i="34"/>
  <c r="N464" i="34"/>
  <c r="N465" i="34"/>
  <c r="N466" i="34"/>
  <c r="N467" i="34"/>
  <c r="N468" i="34"/>
  <c r="N469" i="34"/>
  <c r="N470" i="34"/>
  <c r="N471" i="34"/>
  <c r="N472" i="34"/>
  <c r="N473" i="34"/>
  <c r="N474" i="34"/>
  <c r="N475" i="34"/>
  <c r="N476" i="34"/>
  <c r="N477" i="34"/>
  <c r="N478" i="34"/>
  <c r="N479" i="34"/>
  <c r="N480" i="34"/>
  <c r="N481" i="34"/>
  <c r="N482" i="34"/>
  <c r="N483" i="34"/>
  <c r="N484" i="34"/>
  <c r="N485" i="34"/>
  <c r="N486" i="34"/>
  <c r="N487" i="34"/>
  <c r="N488" i="34"/>
  <c r="N489" i="34"/>
  <c r="N490" i="34"/>
  <c r="N491" i="34"/>
  <c r="O264" i="34"/>
  <c r="O265" i="34"/>
  <c r="O266" i="34"/>
  <c r="O267" i="34"/>
  <c r="O268" i="34"/>
  <c r="O269" i="34"/>
  <c r="O270" i="34"/>
  <c r="O271" i="34"/>
  <c r="O272" i="34"/>
  <c r="O273" i="34"/>
  <c r="O274" i="34"/>
  <c r="O275" i="34"/>
  <c r="O276" i="34"/>
  <c r="O277" i="34"/>
  <c r="O278" i="34"/>
  <c r="O279" i="34"/>
  <c r="O280" i="34"/>
  <c r="O281" i="34"/>
  <c r="O282" i="34"/>
  <c r="O283" i="34"/>
  <c r="O284" i="34"/>
  <c r="O285" i="34"/>
  <c r="O286" i="34"/>
  <c r="O287" i="34"/>
  <c r="O288" i="34"/>
  <c r="O289" i="34"/>
  <c r="O290" i="34"/>
  <c r="O291" i="34"/>
  <c r="O292" i="34"/>
  <c r="O293" i="34"/>
  <c r="O294" i="34"/>
  <c r="O295" i="34"/>
  <c r="O296" i="34"/>
  <c r="O297" i="34"/>
  <c r="O298" i="34"/>
  <c r="O299" i="34"/>
  <c r="O300" i="34"/>
  <c r="O301" i="34"/>
  <c r="O302" i="34"/>
  <c r="O303" i="34"/>
  <c r="O304" i="34"/>
  <c r="O305" i="34"/>
  <c r="O306" i="34"/>
  <c r="O307" i="34"/>
  <c r="O308" i="34"/>
  <c r="O309" i="34"/>
  <c r="O310" i="34"/>
  <c r="O311" i="34"/>
  <c r="O312" i="34"/>
  <c r="O313" i="34"/>
  <c r="O314" i="34"/>
  <c r="O315" i="34"/>
  <c r="O316" i="34"/>
  <c r="O317" i="34"/>
  <c r="O318" i="34"/>
  <c r="O319" i="34"/>
  <c r="O320" i="34"/>
  <c r="O321" i="34"/>
  <c r="O322" i="34"/>
  <c r="O323" i="34"/>
  <c r="O324" i="34"/>
  <c r="O325" i="34"/>
  <c r="O326" i="34"/>
  <c r="O327" i="34"/>
  <c r="O328" i="34"/>
  <c r="O329" i="34"/>
  <c r="O330" i="34"/>
  <c r="O331" i="34"/>
  <c r="O332" i="34"/>
  <c r="O333" i="34"/>
  <c r="O334" i="34"/>
  <c r="O335" i="34"/>
  <c r="O336" i="34"/>
  <c r="O337" i="34"/>
  <c r="O338" i="34"/>
  <c r="O339" i="34"/>
  <c r="O340" i="34"/>
  <c r="O341" i="34"/>
  <c r="O342" i="34"/>
  <c r="O343" i="34"/>
  <c r="O344" i="34"/>
  <c r="O345" i="34"/>
  <c r="O346" i="34"/>
  <c r="O347" i="34"/>
  <c r="O348" i="34"/>
  <c r="O349" i="34"/>
  <c r="O350" i="34"/>
  <c r="O351" i="34"/>
  <c r="O352" i="34"/>
  <c r="O353" i="34"/>
  <c r="O354" i="34"/>
  <c r="O355" i="34"/>
  <c r="O356" i="34"/>
  <c r="O357" i="34"/>
  <c r="O358" i="34"/>
  <c r="O359" i="34"/>
  <c r="O360" i="34"/>
  <c r="O361" i="34"/>
  <c r="O362" i="34"/>
  <c r="O363" i="34"/>
  <c r="O364" i="34"/>
  <c r="O365" i="34"/>
  <c r="O366" i="34"/>
  <c r="O367" i="34"/>
  <c r="O368" i="34"/>
  <c r="O369" i="34"/>
  <c r="O370" i="34"/>
  <c r="O371" i="34"/>
  <c r="O372" i="34"/>
  <c r="O373" i="34"/>
  <c r="O374" i="34"/>
  <c r="O375" i="34"/>
  <c r="O376" i="34"/>
  <c r="O377" i="34"/>
  <c r="O378" i="34"/>
  <c r="O379" i="34"/>
  <c r="O380" i="34"/>
  <c r="O381" i="34"/>
  <c r="O382" i="34"/>
  <c r="O383" i="34"/>
  <c r="O384" i="34"/>
  <c r="O385" i="34"/>
  <c r="O386" i="34"/>
  <c r="O387" i="34"/>
  <c r="O388" i="34"/>
  <c r="O389" i="34"/>
  <c r="O390" i="34"/>
  <c r="O391" i="34"/>
  <c r="O392" i="34"/>
  <c r="O393" i="34"/>
  <c r="O394" i="34"/>
  <c r="O395" i="34"/>
  <c r="O396" i="34"/>
  <c r="O397" i="34"/>
  <c r="O398" i="34"/>
  <c r="O399" i="34"/>
  <c r="O400" i="34"/>
  <c r="O401" i="34"/>
  <c r="O402" i="34"/>
  <c r="O403" i="34"/>
  <c r="O404" i="34"/>
  <c r="O405" i="34"/>
  <c r="O406" i="34"/>
  <c r="O407" i="34"/>
  <c r="O408" i="34"/>
  <c r="O409" i="34"/>
  <c r="O410" i="34"/>
  <c r="O411" i="34"/>
  <c r="O412" i="34"/>
  <c r="O413" i="34"/>
  <c r="O414" i="34"/>
  <c r="O415" i="34"/>
  <c r="O416" i="34"/>
  <c r="O417" i="34"/>
  <c r="O418" i="34"/>
  <c r="O419" i="34"/>
  <c r="O420" i="34"/>
  <c r="O421" i="34"/>
  <c r="O422" i="34"/>
  <c r="O423" i="34"/>
  <c r="O424" i="34"/>
  <c r="O425" i="34"/>
  <c r="O426" i="34"/>
  <c r="O427" i="34"/>
  <c r="O428" i="34"/>
  <c r="O429" i="34"/>
  <c r="O430" i="34"/>
  <c r="O431" i="34"/>
  <c r="O432" i="34"/>
  <c r="O433" i="34"/>
  <c r="O434" i="34"/>
  <c r="O435" i="34"/>
  <c r="O436" i="34"/>
  <c r="O437" i="34"/>
  <c r="O438" i="34"/>
  <c r="O439" i="34"/>
  <c r="O440" i="34"/>
  <c r="O441" i="34"/>
  <c r="O442" i="34"/>
  <c r="O443" i="34"/>
  <c r="O444" i="34"/>
  <c r="O445" i="34"/>
  <c r="O446" i="34"/>
  <c r="O447" i="34"/>
  <c r="O448" i="34"/>
  <c r="O449" i="34"/>
  <c r="O450" i="34"/>
  <c r="O451" i="34"/>
  <c r="O452" i="34"/>
  <c r="O453" i="34"/>
  <c r="O454" i="34"/>
  <c r="O455" i="34"/>
  <c r="O456" i="34"/>
  <c r="O457" i="34"/>
  <c r="O458" i="34"/>
  <c r="O459" i="34"/>
  <c r="O460" i="34"/>
  <c r="O461" i="34"/>
  <c r="O462" i="34"/>
  <c r="O463" i="34"/>
  <c r="O464" i="34"/>
  <c r="O465" i="34"/>
  <c r="O466" i="34"/>
  <c r="O467" i="34"/>
  <c r="O468" i="34"/>
  <c r="O469" i="34"/>
  <c r="O470" i="34"/>
  <c r="O471" i="34"/>
  <c r="O472" i="34"/>
  <c r="O473" i="34"/>
  <c r="O474" i="34"/>
  <c r="O475" i="34"/>
  <c r="O476" i="34"/>
  <c r="O477" i="34"/>
  <c r="O478" i="34"/>
  <c r="O479" i="34"/>
  <c r="O480" i="34"/>
  <c r="O481" i="34"/>
  <c r="O482" i="34"/>
  <c r="O483" i="34"/>
  <c r="O484" i="34"/>
  <c r="O485" i="34"/>
  <c r="O486" i="34"/>
  <c r="O487" i="34"/>
  <c r="O488" i="34"/>
  <c r="O489" i="34"/>
  <c r="O490" i="34"/>
  <c r="O491" i="34"/>
  <c r="G491" i="34"/>
  <c r="G490" i="34"/>
  <c r="G489" i="34"/>
  <c r="G488" i="34"/>
  <c r="G487" i="34"/>
  <c r="G486" i="34"/>
  <c r="G485" i="34"/>
  <c r="G484" i="34"/>
  <c r="G483" i="34"/>
  <c r="G482" i="34"/>
  <c r="G481" i="34"/>
  <c r="G480" i="34"/>
  <c r="G479" i="34"/>
  <c r="G478" i="34"/>
  <c r="G477" i="34"/>
  <c r="G476" i="34"/>
  <c r="G475" i="34"/>
  <c r="G474" i="34"/>
  <c r="G473" i="34"/>
  <c r="G472" i="34"/>
  <c r="G471" i="34"/>
  <c r="G470" i="34"/>
  <c r="G469" i="34"/>
  <c r="G468" i="34"/>
  <c r="G467" i="34"/>
  <c r="G466" i="34"/>
  <c r="G465" i="34"/>
  <c r="G464" i="34"/>
  <c r="G463" i="34"/>
  <c r="G462" i="34"/>
  <c r="G461" i="34"/>
  <c r="G460" i="34"/>
  <c r="G459" i="34"/>
  <c r="G458" i="34"/>
  <c r="G457" i="34"/>
  <c r="G456" i="34"/>
  <c r="G455" i="34"/>
  <c r="G454" i="34"/>
  <c r="G453" i="34"/>
  <c r="G452" i="34"/>
  <c r="G451" i="34"/>
  <c r="G450" i="34"/>
  <c r="G449" i="34"/>
  <c r="G448" i="34"/>
  <c r="G447" i="34"/>
  <c r="G446" i="34"/>
  <c r="G445" i="34"/>
  <c r="G444" i="34"/>
  <c r="G443" i="34"/>
  <c r="G442" i="34"/>
  <c r="G441" i="34"/>
  <c r="G440" i="34"/>
  <c r="G439" i="34"/>
  <c r="G438" i="34"/>
  <c r="G437" i="34"/>
  <c r="G436" i="34"/>
  <c r="G435" i="34"/>
  <c r="G434" i="34"/>
  <c r="G433" i="34"/>
  <c r="G432" i="34"/>
  <c r="G431" i="34"/>
  <c r="G430" i="34"/>
  <c r="G429" i="34"/>
  <c r="G428" i="34"/>
  <c r="G427" i="34"/>
  <c r="G426" i="34"/>
  <c r="G425" i="34"/>
  <c r="G424" i="34"/>
  <c r="G423" i="34"/>
  <c r="G422" i="34"/>
  <c r="G421" i="34"/>
  <c r="G420" i="34"/>
  <c r="G419" i="34"/>
  <c r="G418" i="34"/>
  <c r="G417" i="34"/>
  <c r="G416" i="34"/>
  <c r="G415" i="34"/>
  <c r="G414" i="34"/>
  <c r="G413" i="34"/>
  <c r="G412" i="34"/>
  <c r="G411" i="34"/>
  <c r="G410" i="34"/>
  <c r="G409" i="34"/>
  <c r="G408" i="34"/>
  <c r="G407" i="34"/>
  <c r="G406" i="34"/>
  <c r="G405" i="34"/>
  <c r="G404" i="34"/>
  <c r="G403" i="34"/>
  <c r="G402" i="34"/>
  <c r="G401" i="34"/>
  <c r="G400" i="34"/>
  <c r="G399" i="34"/>
  <c r="G398" i="34"/>
  <c r="G397" i="34"/>
  <c r="G396" i="34"/>
  <c r="G395" i="34"/>
  <c r="G394" i="34"/>
  <c r="G393" i="34"/>
  <c r="G392" i="34"/>
  <c r="G391" i="34"/>
  <c r="G390" i="34"/>
  <c r="G389" i="34"/>
  <c r="G388" i="34"/>
  <c r="G387" i="34"/>
  <c r="G386" i="34"/>
  <c r="G385" i="34"/>
  <c r="G384" i="34"/>
  <c r="G383" i="34"/>
  <c r="G382" i="34"/>
  <c r="G381" i="34"/>
  <c r="G380" i="34"/>
  <c r="G379" i="34"/>
  <c r="G378" i="34"/>
  <c r="G377" i="34"/>
  <c r="G376" i="34"/>
  <c r="G375" i="34"/>
  <c r="G374" i="34"/>
  <c r="G373" i="34"/>
  <c r="G372" i="34"/>
  <c r="G371" i="34"/>
  <c r="G370" i="34"/>
  <c r="G369" i="34"/>
  <c r="G368" i="34"/>
  <c r="G367" i="34"/>
  <c r="G366" i="34"/>
  <c r="G365" i="34"/>
  <c r="G364" i="34"/>
  <c r="G363" i="34"/>
  <c r="G362" i="34"/>
  <c r="G361" i="34"/>
  <c r="G360" i="34"/>
  <c r="G359" i="34"/>
  <c r="G358" i="34"/>
  <c r="G357" i="34"/>
  <c r="G356" i="34"/>
  <c r="G355" i="34"/>
  <c r="G354" i="34"/>
  <c r="G353" i="34"/>
  <c r="G352" i="34"/>
  <c r="G351" i="34"/>
  <c r="G350" i="34"/>
  <c r="G349" i="34"/>
  <c r="G348" i="34"/>
  <c r="G347" i="34"/>
  <c r="G346" i="34"/>
  <c r="G345" i="34"/>
  <c r="G344" i="34"/>
  <c r="G343" i="34"/>
  <c r="G342" i="34"/>
  <c r="G341" i="34"/>
  <c r="G340" i="34"/>
  <c r="G339" i="34"/>
  <c r="G338" i="34"/>
  <c r="G337" i="34"/>
  <c r="G336" i="34"/>
  <c r="G335" i="34"/>
  <c r="G334" i="34"/>
  <c r="G333" i="34"/>
  <c r="G332" i="34"/>
  <c r="G331" i="34"/>
  <c r="G330" i="34"/>
  <c r="G329" i="34"/>
  <c r="G328" i="34"/>
  <c r="G327" i="34"/>
  <c r="G326" i="34"/>
  <c r="G325" i="34"/>
  <c r="G324" i="34"/>
  <c r="G323" i="34"/>
  <c r="G322" i="34"/>
  <c r="G321" i="34"/>
  <c r="G320" i="34"/>
  <c r="G319" i="34"/>
  <c r="G318" i="34"/>
  <c r="G317" i="34"/>
  <c r="G316" i="34"/>
  <c r="G315" i="34"/>
  <c r="G314" i="34"/>
  <c r="G313" i="34"/>
  <c r="G312" i="34"/>
  <c r="G311" i="34"/>
  <c r="G310" i="34"/>
  <c r="G309" i="34"/>
  <c r="G308" i="34"/>
  <c r="G307" i="34"/>
  <c r="G306" i="34"/>
  <c r="G305" i="34"/>
  <c r="G304" i="34"/>
  <c r="G303" i="34"/>
  <c r="G302" i="34"/>
  <c r="G301" i="34"/>
  <c r="G300" i="34"/>
  <c r="G299" i="34"/>
  <c r="G298" i="34"/>
  <c r="G297" i="34"/>
  <c r="G296" i="34"/>
  <c r="G295" i="34"/>
  <c r="G294" i="34"/>
  <c r="G293" i="34"/>
  <c r="G292" i="34"/>
  <c r="G291" i="34"/>
  <c r="G290" i="34"/>
  <c r="G289" i="34"/>
  <c r="G288" i="34"/>
  <c r="G287" i="34"/>
  <c r="G286" i="34"/>
  <c r="G285" i="34"/>
  <c r="G284" i="34"/>
  <c r="G283" i="34"/>
  <c r="G282" i="34"/>
  <c r="G281" i="34"/>
  <c r="G280" i="34"/>
  <c r="G279" i="34"/>
  <c r="G278" i="34"/>
  <c r="G277" i="34"/>
  <c r="G276" i="34"/>
  <c r="G275" i="34"/>
  <c r="G274" i="34"/>
  <c r="G273" i="34"/>
  <c r="G272" i="34"/>
  <c r="G271" i="34"/>
  <c r="G270" i="34"/>
  <c r="G269" i="34"/>
  <c r="G268" i="34"/>
  <c r="G267" i="34"/>
  <c r="G266" i="34"/>
  <c r="G265" i="34"/>
  <c r="G264" i="34"/>
  <c r="O7" i="36" l="1"/>
  <c r="O8" i="36"/>
  <c r="O9" i="36"/>
  <c r="O10" i="36"/>
  <c r="O11" i="36"/>
  <c r="O12" i="36"/>
  <c r="O13" i="36"/>
  <c r="O14" i="36"/>
  <c r="O15" i="36"/>
  <c r="O16" i="36"/>
  <c r="O17" i="36"/>
  <c r="O18" i="36"/>
  <c r="O19" i="36"/>
  <c r="O20" i="36"/>
  <c r="O21" i="36"/>
  <c r="C5" i="36"/>
  <c r="C10" i="36" s="1"/>
  <c r="D5" i="36" l="1"/>
  <c r="C7" i="36"/>
  <c r="C11" i="36"/>
  <c r="C15" i="36"/>
  <c r="C19" i="36"/>
  <c r="C8" i="36"/>
  <c r="C16" i="36"/>
  <c r="C20" i="36"/>
  <c r="C9" i="36"/>
  <c r="C17" i="36"/>
  <c r="C21" i="36"/>
  <c r="C12" i="36"/>
  <c r="C13" i="36"/>
  <c r="C18" i="36"/>
  <c r="C14" i="36"/>
  <c r="G263" i="34"/>
  <c r="M263" i="34"/>
  <c r="N263" i="34"/>
  <c r="O263" i="34"/>
  <c r="G237" i="34"/>
  <c r="M237" i="34"/>
  <c r="N237" i="34"/>
  <c r="O237" i="34"/>
  <c r="G262" i="34"/>
  <c r="M262" i="34"/>
  <c r="N262" i="34"/>
  <c r="O262" i="34"/>
  <c r="G236" i="34"/>
  <c r="M236" i="34"/>
  <c r="N236" i="34"/>
  <c r="O236" i="34"/>
  <c r="G261" i="34"/>
  <c r="M261" i="34"/>
  <c r="N261" i="34"/>
  <c r="O261" i="34"/>
  <c r="G214" i="34"/>
  <c r="M214" i="34"/>
  <c r="N214" i="34"/>
  <c r="O214" i="34"/>
  <c r="G235" i="34"/>
  <c r="M235" i="34"/>
  <c r="N235" i="34"/>
  <c r="O235" i="34"/>
  <c r="G213" i="34"/>
  <c r="M213" i="34"/>
  <c r="N213" i="34"/>
  <c r="O213" i="34"/>
  <c r="G260" i="34"/>
  <c r="M260" i="34"/>
  <c r="N260" i="34"/>
  <c r="O260" i="34"/>
  <c r="G212" i="34"/>
  <c r="M212" i="34"/>
  <c r="N212" i="34"/>
  <c r="O212" i="34"/>
  <c r="E5" i="36" l="1"/>
  <c r="D7" i="36"/>
  <c r="D11" i="36"/>
  <c r="D15" i="36"/>
  <c r="D19" i="36"/>
  <c r="D9" i="36"/>
  <c r="D17" i="36"/>
  <c r="D21" i="36"/>
  <c r="D14" i="36"/>
  <c r="D8" i="36"/>
  <c r="D12" i="36"/>
  <c r="D16" i="36"/>
  <c r="D20" i="36"/>
  <c r="D13" i="36"/>
  <c r="D10" i="36"/>
  <c r="D18" i="36"/>
  <c r="G259" i="34"/>
  <c r="M259" i="34"/>
  <c r="N259" i="34"/>
  <c r="O259" i="34"/>
  <c r="G234" i="34"/>
  <c r="M234" i="34"/>
  <c r="N234" i="34"/>
  <c r="O234" i="34"/>
  <c r="G211" i="34"/>
  <c r="M211" i="34"/>
  <c r="N211" i="34"/>
  <c r="O211" i="34"/>
  <c r="G190" i="34"/>
  <c r="M190" i="34"/>
  <c r="N190" i="34"/>
  <c r="O190" i="34"/>
  <c r="F5" i="36" l="1"/>
  <c r="E8" i="36"/>
  <c r="E12" i="36"/>
  <c r="E16" i="36"/>
  <c r="E20" i="36"/>
  <c r="E10" i="36"/>
  <c r="E14" i="36"/>
  <c r="E18" i="36"/>
  <c r="E9" i="36"/>
  <c r="E13" i="36"/>
  <c r="E17" i="36"/>
  <c r="E21" i="36"/>
  <c r="E15" i="36"/>
  <c r="E11" i="36"/>
  <c r="E19" i="36"/>
  <c r="E7" i="36"/>
  <c r="G189" i="34"/>
  <c r="M189" i="34"/>
  <c r="N189" i="34"/>
  <c r="O189" i="34"/>
  <c r="G151" i="34"/>
  <c r="M151" i="34"/>
  <c r="N151" i="34"/>
  <c r="O151" i="34"/>
  <c r="G5" i="36" l="1"/>
  <c r="F9" i="36"/>
  <c r="F13" i="36"/>
  <c r="F17" i="36"/>
  <c r="F21" i="36"/>
  <c r="F7" i="36"/>
  <c r="F15" i="36"/>
  <c r="F19" i="36"/>
  <c r="F10" i="36"/>
  <c r="F14" i="36"/>
  <c r="F18" i="36"/>
  <c r="F11" i="36"/>
  <c r="F16" i="36"/>
  <c r="F12" i="36"/>
  <c r="F20" i="36"/>
  <c r="F8" i="36"/>
  <c r="G150" i="34"/>
  <c r="M150" i="34"/>
  <c r="N150" i="34"/>
  <c r="O150" i="34"/>
  <c r="H5" i="36" l="1"/>
  <c r="G10" i="36"/>
  <c r="G14" i="36"/>
  <c r="G18" i="36"/>
  <c r="G12" i="36"/>
  <c r="G20" i="36"/>
  <c r="G7" i="36"/>
  <c r="G11" i="36"/>
  <c r="G15" i="36"/>
  <c r="G19" i="36"/>
  <c r="G8" i="36"/>
  <c r="G16" i="36"/>
  <c r="G17" i="36"/>
  <c r="G13" i="36"/>
  <c r="G21" i="36"/>
  <c r="G9" i="36"/>
  <c r="G130" i="34"/>
  <c r="M130" i="34"/>
  <c r="N130" i="34"/>
  <c r="O130" i="34"/>
  <c r="G89" i="34"/>
  <c r="M89" i="34"/>
  <c r="N89" i="34"/>
  <c r="O89" i="34"/>
  <c r="G129" i="34"/>
  <c r="M129" i="34"/>
  <c r="N129" i="34"/>
  <c r="O129" i="34"/>
  <c r="G88" i="34"/>
  <c r="M88" i="34"/>
  <c r="N88" i="34"/>
  <c r="O88" i="34"/>
  <c r="G128" i="34"/>
  <c r="M128" i="34"/>
  <c r="N128" i="34"/>
  <c r="O128" i="34"/>
  <c r="G87" i="34"/>
  <c r="M87" i="34"/>
  <c r="N87" i="34"/>
  <c r="O87" i="34"/>
  <c r="I5" i="36" l="1"/>
  <c r="H7" i="36"/>
  <c r="H11" i="36"/>
  <c r="H15" i="36"/>
  <c r="H19" i="36"/>
  <c r="H13" i="36"/>
  <c r="H21" i="36"/>
  <c r="H8" i="36"/>
  <c r="H12" i="36"/>
  <c r="H16" i="36"/>
  <c r="H20" i="36"/>
  <c r="H9" i="36"/>
  <c r="H17" i="36"/>
  <c r="H18" i="36"/>
  <c r="H14" i="36"/>
  <c r="H10" i="36"/>
  <c r="G66" i="34"/>
  <c r="M66" i="34"/>
  <c r="N66" i="34"/>
  <c r="O66" i="34"/>
  <c r="G46" i="34"/>
  <c r="M46" i="34"/>
  <c r="N46" i="34"/>
  <c r="O46" i="34"/>
  <c r="G65" i="34"/>
  <c r="M65" i="34"/>
  <c r="N65" i="34"/>
  <c r="O65" i="34"/>
  <c r="G45" i="34"/>
  <c r="M45" i="34"/>
  <c r="N45" i="34"/>
  <c r="O45" i="34"/>
  <c r="G86" i="34"/>
  <c r="M86" i="34"/>
  <c r="N86" i="34"/>
  <c r="O86" i="34"/>
  <c r="G44" i="34"/>
  <c r="M44" i="34"/>
  <c r="N44" i="34"/>
  <c r="O44" i="34"/>
  <c r="J5" i="36" l="1"/>
  <c r="I8" i="36"/>
  <c r="I12" i="36"/>
  <c r="I16" i="36"/>
  <c r="I20" i="36"/>
  <c r="I14" i="36"/>
  <c r="I18" i="36"/>
  <c r="I9" i="36"/>
  <c r="I13" i="36"/>
  <c r="I17" i="36"/>
  <c r="I21" i="36"/>
  <c r="I10" i="36"/>
  <c r="I19" i="36"/>
  <c r="I15" i="36"/>
  <c r="I7" i="36"/>
  <c r="I11" i="36"/>
  <c r="D7" i="38"/>
  <c r="D8" i="38"/>
  <c r="D9" i="38"/>
  <c r="D10" i="38"/>
  <c r="D11" i="38"/>
  <c r="D12" i="38"/>
  <c r="D13" i="38"/>
  <c r="D14" i="38"/>
  <c r="D15" i="38"/>
  <c r="D16" i="38"/>
  <c r="D17" i="38"/>
  <c r="D18" i="38"/>
  <c r="D19" i="38"/>
  <c r="D20" i="38"/>
  <c r="D21" i="38"/>
  <c r="C7" i="38"/>
  <c r="C8" i="38"/>
  <c r="C9" i="38"/>
  <c r="C10" i="38"/>
  <c r="C11" i="38"/>
  <c r="C12" i="38"/>
  <c r="C13" i="38"/>
  <c r="C14" i="38"/>
  <c r="C15" i="38"/>
  <c r="C16" i="38"/>
  <c r="C17" i="38"/>
  <c r="C18" i="38"/>
  <c r="C19" i="38"/>
  <c r="C20" i="38"/>
  <c r="C21" i="38"/>
  <c r="A8" i="38"/>
  <c r="B8" i="38"/>
  <c r="A9" i="38"/>
  <c r="B9" i="38"/>
  <c r="A10" i="38"/>
  <c r="B10" i="38"/>
  <c r="A11" i="38"/>
  <c r="B11" i="38"/>
  <c r="A12" i="38"/>
  <c r="B12" i="38"/>
  <c r="A13" i="38"/>
  <c r="B13" i="38"/>
  <c r="A14" i="38"/>
  <c r="B14" i="38"/>
  <c r="A15" i="38"/>
  <c r="B15" i="38"/>
  <c r="A16" i="38"/>
  <c r="B16" i="38"/>
  <c r="A17" i="38"/>
  <c r="B17" i="38"/>
  <c r="A18" i="38"/>
  <c r="B18" i="38"/>
  <c r="A19" i="38"/>
  <c r="B19" i="38"/>
  <c r="A20" i="38"/>
  <c r="B20" i="38"/>
  <c r="A21" i="38"/>
  <c r="B21" i="38"/>
  <c r="B7" i="38"/>
  <c r="A7" i="38"/>
  <c r="K5" i="36" l="1"/>
  <c r="J9" i="36"/>
  <c r="J13" i="36"/>
  <c r="J17" i="36"/>
  <c r="J21" i="36"/>
  <c r="J11" i="36"/>
  <c r="J15" i="36"/>
  <c r="J10" i="36"/>
  <c r="J14" i="36"/>
  <c r="J18" i="36"/>
  <c r="J7" i="36"/>
  <c r="J19" i="36"/>
  <c r="J20" i="36"/>
  <c r="J16" i="36"/>
  <c r="J8" i="36"/>
  <c r="J12" i="36"/>
  <c r="E21" i="38"/>
  <c r="E17" i="38"/>
  <c r="E13" i="38"/>
  <c r="E9" i="38"/>
  <c r="E20" i="38"/>
  <c r="E16" i="38"/>
  <c r="E12" i="38"/>
  <c r="E8" i="38"/>
  <c r="E19" i="38"/>
  <c r="E11" i="38"/>
  <c r="E7" i="38"/>
  <c r="E15" i="38"/>
  <c r="E14" i="38"/>
  <c r="E10" i="38"/>
  <c r="E18" i="38"/>
  <c r="F3" i="37"/>
  <c r="F492" i="34" l="1"/>
  <c r="F493" i="34"/>
  <c r="D492" i="34"/>
  <c r="D493" i="34"/>
  <c r="L5" i="36"/>
  <c r="K10" i="36"/>
  <c r="K14" i="36"/>
  <c r="K18" i="36"/>
  <c r="K8" i="36"/>
  <c r="K12" i="36"/>
  <c r="K16" i="36"/>
  <c r="K7" i="36"/>
  <c r="K11" i="36"/>
  <c r="K15" i="36"/>
  <c r="K19" i="36"/>
  <c r="K20" i="36"/>
  <c r="K21" i="36"/>
  <c r="K17" i="36"/>
  <c r="K9" i="36"/>
  <c r="K13" i="36"/>
  <c r="D486" i="34"/>
  <c r="D429" i="34"/>
  <c r="D468" i="34"/>
  <c r="F457" i="34"/>
  <c r="D448" i="34"/>
  <c r="F437" i="34"/>
  <c r="F419" i="34"/>
  <c r="D411" i="34"/>
  <c r="D353" i="34"/>
  <c r="D298" i="34"/>
  <c r="F287" i="34"/>
  <c r="F324" i="34"/>
  <c r="F269" i="34"/>
  <c r="D391" i="34"/>
  <c r="F343" i="34"/>
  <c r="D316" i="34"/>
  <c r="D279" i="34"/>
  <c r="F476" i="34"/>
  <c r="D371" i="34"/>
  <c r="D335" i="34"/>
  <c r="F306" i="34"/>
  <c r="F381" i="34"/>
  <c r="F361" i="34"/>
  <c r="F400" i="34"/>
  <c r="F481" i="34"/>
  <c r="D430" i="34"/>
  <c r="D489" i="34"/>
  <c r="D373" i="34"/>
  <c r="F366" i="34"/>
  <c r="D450" i="34"/>
  <c r="F329" i="34"/>
  <c r="F442" i="34"/>
  <c r="F424" i="34"/>
  <c r="D354" i="34"/>
  <c r="D299" i="34"/>
  <c r="F292" i="34"/>
  <c r="F405" i="34"/>
  <c r="D317" i="34"/>
  <c r="D280" i="34"/>
  <c r="D336" i="34"/>
  <c r="D469" i="34"/>
  <c r="F462" i="34"/>
  <c r="D412" i="34"/>
  <c r="F348" i="34"/>
  <c r="F274" i="34"/>
  <c r="D393" i="34"/>
  <c r="F386" i="34"/>
  <c r="F311" i="34"/>
  <c r="D490" i="34"/>
  <c r="D470" i="34"/>
  <c r="F463" i="34"/>
  <c r="D451" i="34"/>
  <c r="D413" i="34"/>
  <c r="F482" i="34"/>
  <c r="D431" i="34"/>
  <c r="F406" i="34"/>
  <c r="D394" i="34"/>
  <c r="F387" i="34"/>
  <c r="D337" i="34"/>
  <c r="F330" i="34"/>
  <c r="F312" i="34"/>
  <c r="F275" i="34"/>
  <c r="F349" i="34"/>
  <c r="D374" i="34"/>
  <c r="F367" i="34"/>
  <c r="D355" i="34"/>
  <c r="D300" i="34"/>
  <c r="F293" i="34"/>
  <c r="D281" i="34"/>
  <c r="F443" i="34"/>
  <c r="F425" i="34"/>
  <c r="D318" i="34"/>
  <c r="F483" i="34"/>
  <c r="F444" i="34"/>
  <c r="F426" i="34"/>
  <c r="D491" i="34"/>
  <c r="F407" i="34"/>
  <c r="F350" i="34"/>
  <c r="F388" i="34"/>
  <c r="F331" i="34"/>
  <c r="F313" i="34"/>
  <c r="F276" i="34"/>
  <c r="F464" i="34"/>
  <c r="D375" i="34"/>
  <c r="F294" i="34"/>
  <c r="F368" i="34"/>
  <c r="F164" i="34"/>
  <c r="F477" i="34"/>
  <c r="F401" i="34"/>
  <c r="F362" i="34"/>
  <c r="F458" i="34"/>
  <c r="F438" i="34"/>
  <c r="F420" i="34"/>
  <c r="F288" i="34"/>
  <c r="D392" i="34"/>
  <c r="F344" i="34"/>
  <c r="F270" i="34"/>
  <c r="F382" i="34"/>
  <c r="F325" i="34"/>
  <c r="F307" i="34"/>
  <c r="F491" i="34"/>
  <c r="F487" i="34"/>
  <c r="F467" i="34"/>
  <c r="F488" i="34"/>
  <c r="F468" i="34"/>
  <c r="F448" i="34"/>
  <c r="F430" i="34"/>
  <c r="F489" i="34"/>
  <c r="F486" i="34"/>
  <c r="F469" i="34"/>
  <c r="F466" i="34"/>
  <c r="F449" i="34"/>
  <c r="F445" i="34"/>
  <c r="F431" i="34"/>
  <c r="F427" i="34"/>
  <c r="F411" i="34"/>
  <c r="F484" i="34"/>
  <c r="F470" i="34"/>
  <c r="F465" i="34"/>
  <c r="F409" i="34"/>
  <c r="F391" i="34"/>
  <c r="F374" i="34"/>
  <c r="F370" i="34"/>
  <c r="F354" i="34"/>
  <c r="F334" i="34"/>
  <c r="F316" i="34"/>
  <c r="F299" i="34"/>
  <c r="F295" i="34"/>
  <c r="F279" i="34"/>
  <c r="F389" i="34"/>
  <c r="F352" i="34"/>
  <c r="F314" i="34"/>
  <c r="F297" i="34"/>
  <c r="F277" i="34"/>
  <c r="F353" i="34"/>
  <c r="F278" i="34"/>
  <c r="F450" i="34"/>
  <c r="F446" i="34"/>
  <c r="F428" i="34"/>
  <c r="F412" i="34"/>
  <c r="F392" i="34"/>
  <c r="F375" i="34"/>
  <c r="F371" i="34"/>
  <c r="F355" i="34"/>
  <c r="F351" i="34"/>
  <c r="F335" i="34"/>
  <c r="F317" i="34"/>
  <c r="F300" i="34"/>
  <c r="F296" i="34"/>
  <c r="F280" i="34"/>
  <c r="F485" i="34"/>
  <c r="F410" i="34"/>
  <c r="F372" i="34"/>
  <c r="F318" i="34"/>
  <c r="F281" i="34"/>
  <c r="F337" i="34"/>
  <c r="F490" i="34"/>
  <c r="F393" i="34"/>
  <c r="F336" i="34"/>
  <c r="F332" i="34"/>
  <c r="F298" i="34"/>
  <c r="F451" i="34"/>
  <c r="F447" i="34"/>
  <c r="F429" i="34"/>
  <c r="F413" i="34"/>
  <c r="F408" i="34"/>
  <c r="F394" i="34"/>
  <c r="F390" i="34"/>
  <c r="F373" i="34"/>
  <c r="F369" i="34"/>
  <c r="F333" i="34"/>
  <c r="F315" i="34"/>
  <c r="D482" i="34"/>
  <c r="D478" i="34"/>
  <c r="D474" i="34"/>
  <c r="F471" i="34"/>
  <c r="D462" i="34"/>
  <c r="D477" i="34"/>
  <c r="D459" i="34"/>
  <c r="D455" i="34"/>
  <c r="F452" i="34"/>
  <c r="D443" i="34"/>
  <c r="D439" i="34"/>
  <c r="D435" i="34"/>
  <c r="F432" i="34"/>
  <c r="D425" i="34"/>
  <c r="D421" i="34"/>
  <c r="D417" i="34"/>
  <c r="F414" i="34"/>
  <c r="D483" i="34"/>
  <c r="D480" i="34"/>
  <c r="D475" i="34"/>
  <c r="D472" i="34"/>
  <c r="D463" i="34"/>
  <c r="D460" i="34"/>
  <c r="D456" i="34"/>
  <c r="D444" i="34"/>
  <c r="D440" i="34"/>
  <c r="D436" i="34"/>
  <c r="D426" i="34"/>
  <c r="D422" i="34"/>
  <c r="D418" i="34"/>
  <c r="D406" i="34"/>
  <c r="D402" i="34"/>
  <c r="D473" i="34"/>
  <c r="D461" i="34"/>
  <c r="D457" i="34"/>
  <c r="D453" i="34"/>
  <c r="D441" i="34"/>
  <c r="D437" i="34"/>
  <c r="D433" i="34"/>
  <c r="D423" i="34"/>
  <c r="D419" i="34"/>
  <c r="D415" i="34"/>
  <c r="D403" i="34"/>
  <c r="D400" i="34"/>
  <c r="D396" i="34"/>
  <c r="D386" i="34"/>
  <c r="D382" i="34"/>
  <c r="D378" i="34"/>
  <c r="D365" i="34"/>
  <c r="D361" i="34"/>
  <c r="D357" i="34"/>
  <c r="D349" i="34"/>
  <c r="D345" i="34"/>
  <c r="D341" i="34"/>
  <c r="F338" i="34"/>
  <c r="D329" i="34"/>
  <c r="D325" i="34"/>
  <c r="D321" i="34"/>
  <c r="D311" i="34"/>
  <c r="D307" i="34"/>
  <c r="D303" i="34"/>
  <c r="D294" i="34"/>
  <c r="D290" i="34"/>
  <c r="D286" i="34"/>
  <c r="D274" i="34"/>
  <c r="D270" i="34"/>
  <c r="D266" i="34"/>
  <c r="D442" i="34"/>
  <c r="D438" i="34"/>
  <c r="D434" i="34"/>
  <c r="D420" i="34"/>
  <c r="D416" i="34"/>
  <c r="D367" i="34"/>
  <c r="D363" i="34"/>
  <c r="D323" i="34"/>
  <c r="D313" i="34"/>
  <c r="D309" i="34"/>
  <c r="D288" i="34"/>
  <c r="D276" i="34"/>
  <c r="D268" i="34"/>
  <c r="D344" i="34"/>
  <c r="D324" i="34"/>
  <c r="D320" i="34"/>
  <c r="D310" i="34"/>
  <c r="D285" i="34"/>
  <c r="D265" i="34"/>
  <c r="D479" i="34"/>
  <c r="D401" i="34"/>
  <c r="D397" i="34"/>
  <c r="D387" i="34"/>
  <c r="D383" i="34"/>
  <c r="D379" i="34"/>
  <c r="F376" i="34"/>
  <c r="D366" i="34"/>
  <c r="D362" i="34"/>
  <c r="D358" i="34"/>
  <c r="D350" i="34"/>
  <c r="D346" i="34"/>
  <c r="D342" i="34"/>
  <c r="D330" i="34"/>
  <c r="D326" i="34"/>
  <c r="D322" i="34"/>
  <c r="F319" i="34"/>
  <c r="D312" i="34"/>
  <c r="D308" i="34"/>
  <c r="D304" i="34"/>
  <c r="F301" i="34"/>
  <c r="D291" i="34"/>
  <c r="D287" i="34"/>
  <c r="D283" i="34"/>
  <c r="D275" i="34"/>
  <c r="D271" i="34"/>
  <c r="D267" i="34"/>
  <c r="F264" i="34"/>
  <c r="D481" i="34"/>
  <c r="D454" i="34"/>
  <c r="D407" i="34"/>
  <c r="F395" i="34"/>
  <c r="D384" i="34"/>
  <c r="D380" i="34"/>
  <c r="D359" i="34"/>
  <c r="F356" i="34"/>
  <c r="D347" i="34"/>
  <c r="D331" i="34"/>
  <c r="D327" i="34"/>
  <c r="D305" i="34"/>
  <c r="D292" i="34"/>
  <c r="D284" i="34"/>
  <c r="D340" i="34"/>
  <c r="D302" i="34"/>
  <c r="F282" i="34"/>
  <c r="D273" i="34"/>
  <c r="D458" i="34"/>
  <c r="D424" i="34"/>
  <c r="D404" i="34"/>
  <c r="D398" i="34"/>
  <c r="D388" i="34"/>
  <c r="D343" i="34"/>
  <c r="D339" i="34"/>
  <c r="D272" i="34"/>
  <c r="D364" i="34"/>
  <c r="D348" i="34"/>
  <c r="D269" i="34"/>
  <c r="D476" i="34"/>
  <c r="D464" i="34"/>
  <c r="D405" i="34"/>
  <c r="D399" i="34"/>
  <c r="D385" i="34"/>
  <c r="D381" i="34"/>
  <c r="D377" i="34"/>
  <c r="D368" i="34"/>
  <c r="D360" i="34"/>
  <c r="D328" i="34"/>
  <c r="D306" i="34"/>
  <c r="D293" i="34"/>
  <c r="D289" i="34"/>
  <c r="F480" i="34"/>
  <c r="D488" i="34"/>
  <c r="F461" i="34"/>
  <c r="F441" i="34"/>
  <c r="F423" i="34"/>
  <c r="F291" i="34"/>
  <c r="F328" i="34"/>
  <c r="F273" i="34"/>
  <c r="F404" i="34"/>
  <c r="F347" i="34"/>
  <c r="F310" i="34"/>
  <c r="F385" i="34"/>
  <c r="D372" i="34"/>
  <c r="F365" i="34"/>
  <c r="D452" i="34"/>
  <c r="D432" i="34"/>
  <c r="D414" i="34"/>
  <c r="D282" i="34"/>
  <c r="D301" i="34"/>
  <c r="D338" i="34"/>
  <c r="D376" i="34"/>
  <c r="D319" i="34"/>
  <c r="D264" i="34"/>
  <c r="D356" i="34"/>
  <c r="D471" i="34"/>
  <c r="D395" i="34"/>
  <c r="D410" i="34"/>
  <c r="F379" i="34"/>
  <c r="F322" i="34"/>
  <c r="F304" i="34"/>
  <c r="F267" i="34"/>
  <c r="D467" i="34"/>
  <c r="F398" i="34"/>
  <c r="F359" i="34"/>
  <c r="F285" i="34"/>
  <c r="F474" i="34"/>
  <c r="F341" i="34"/>
  <c r="F455" i="34"/>
  <c r="F435" i="34"/>
  <c r="F417" i="34"/>
  <c r="D297" i="34"/>
  <c r="F475" i="34"/>
  <c r="F456" i="34"/>
  <c r="D447" i="34"/>
  <c r="F436" i="34"/>
  <c r="F418" i="34"/>
  <c r="F342" i="34"/>
  <c r="F360" i="34"/>
  <c r="F380" i="34"/>
  <c r="D334" i="34"/>
  <c r="F323" i="34"/>
  <c r="F305" i="34"/>
  <c r="F268" i="34"/>
  <c r="F399" i="34"/>
  <c r="F286" i="34"/>
  <c r="F472" i="34"/>
  <c r="D465" i="34"/>
  <c r="F453" i="34"/>
  <c r="F433" i="34"/>
  <c r="F415" i="34"/>
  <c r="D445" i="34"/>
  <c r="D427" i="34"/>
  <c r="D408" i="34"/>
  <c r="D369" i="34"/>
  <c r="F283" i="34"/>
  <c r="F377" i="34"/>
  <c r="D351" i="34"/>
  <c r="F302" i="34"/>
  <c r="D277" i="34"/>
  <c r="D484" i="34"/>
  <c r="F339" i="34"/>
  <c r="D295" i="34"/>
  <c r="F320" i="34"/>
  <c r="F265" i="34"/>
  <c r="F396" i="34"/>
  <c r="D389" i="34"/>
  <c r="F357" i="34"/>
  <c r="D332" i="34"/>
  <c r="D314" i="34"/>
  <c r="D466" i="34"/>
  <c r="D485" i="34"/>
  <c r="F473" i="34"/>
  <c r="F397" i="34"/>
  <c r="D390" i="34"/>
  <c r="F358" i="34"/>
  <c r="D333" i="34"/>
  <c r="D315" i="34"/>
  <c r="D278" i="34"/>
  <c r="F340" i="34"/>
  <c r="D296" i="34"/>
  <c r="D352" i="34"/>
  <c r="F321" i="34"/>
  <c r="F454" i="34"/>
  <c r="F434" i="34"/>
  <c r="F416" i="34"/>
  <c r="D409" i="34"/>
  <c r="D370" i="34"/>
  <c r="F284" i="34"/>
  <c r="D446" i="34"/>
  <c r="F303" i="34"/>
  <c r="F266" i="34"/>
  <c r="D428" i="34"/>
  <c r="F378" i="34"/>
  <c r="F478" i="34"/>
  <c r="D449" i="34"/>
  <c r="F383" i="34"/>
  <c r="F326" i="34"/>
  <c r="F308" i="34"/>
  <c r="F271" i="34"/>
  <c r="F345" i="34"/>
  <c r="F363" i="34"/>
  <c r="F289" i="34"/>
  <c r="F402" i="34"/>
  <c r="F459" i="34"/>
  <c r="F439" i="34"/>
  <c r="F421" i="34"/>
  <c r="F479" i="34"/>
  <c r="F460" i="34"/>
  <c r="F440" i="34"/>
  <c r="F422" i="34"/>
  <c r="F403" i="34"/>
  <c r="F346" i="34"/>
  <c r="F364" i="34"/>
  <c r="F290" i="34"/>
  <c r="F384" i="34"/>
  <c r="F327" i="34"/>
  <c r="F309" i="34"/>
  <c r="F272" i="34"/>
  <c r="D487" i="34"/>
  <c r="D7" i="34"/>
  <c r="F263" i="34"/>
  <c r="F49" i="34"/>
  <c r="D261" i="34"/>
  <c r="F160" i="34"/>
  <c r="F204" i="34"/>
  <c r="F260" i="34"/>
  <c r="F225" i="34"/>
  <c r="F20" i="38"/>
  <c r="F183" i="34"/>
  <c r="F143" i="34"/>
  <c r="F203" i="34"/>
  <c r="D258" i="34"/>
  <c r="F37" i="34"/>
  <c r="F237" i="34"/>
  <c r="D263" i="34"/>
  <c r="D235" i="34"/>
  <c r="D237" i="34"/>
  <c r="D236" i="34"/>
  <c r="F262" i="34"/>
  <c r="F236" i="34"/>
  <c r="D262" i="34"/>
  <c r="F246" i="34"/>
  <c r="F250" i="34"/>
  <c r="F102" i="34"/>
  <c r="D127" i="34"/>
  <c r="F79" i="34"/>
  <c r="F19" i="34"/>
  <c r="D214" i="34"/>
  <c r="F261" i="34"/>
  <c r="F129" i="34"/>
  <c r="F214" i="34"/>
  <c r="D213" i="34"/>
  <c r="F235" i="34"/>
  <c r="D260" i="34"/>
  <c r="F213" i="34"/>
  <c r="F189" i="34"/>
  <c r="F212" i="34"/>
  <c r="F90" i="34"/>
  <c r="D212" i="34"/>
  <c r="F234" i="34"/>
  <c r="F259" i="34"/>
  <c r="D234" i="34"/>
  <c r="D259" i="34"/>
  <c r="F190" i="34"/>
  <c r="F211" i="34"/>
  <c r="D190" i="34"/>
  <c r="D211" i="34"/>
  <c r="D257" i="34"/>
  <c r="F179" i="34"/>
  <c r="D145" i="34"/>
  <c r="F199" i="34"/>
  <c r="D122" i="34"/>
  <c r="F101" i="34"/>
  <c r="F151" i="34"/>
  <c r="D189" i="34"/>
  <c r="F133" i="34"/>
  <c r="D205" i="34"/>
  <c r="D130" i="34"/>
  <c r="D151" i="34"/>
  <c r="F120" i="34"/>
  <c r="F21" i="38"/>
  <c r="D23" i="34"/>
  <c r="F58" i="34"/>
  <c r="D63" i="34"/>
  <c r="F150" i="34"/>
  <c r="F130" i="34"/>
  <c r="D150" i="34"/>
  <c r="D254" i="34"/>
  <c r="D21" i="34"/>
  <c r="F193" i="34"/>
  <c r="F9" i="34"/>
  <c r="F11" i="38"/>
  <c r="D129" i="34"/>
  <c r="F89" i="34"/>
  <c r="F17" i="38"/>
  <c r="D89" i="34"/>
  <c r="F77" i="34"/>
  <c r="F201" i="34"/>
  <c r="F181" i="34"/>
  <c r="D170" i="34"/>
  <c r="D209" i="34"/>
  <c r="F35" i="34"/>
  <c r="F100" i="34"/>
  <c r="F19" i="38"/>
  <c r="D126" i="34"/>
  <c r="D64" i="34"/>
  <c r="F36" i="34"/>
  <c r="D84" i="34"/>
  <c r="F141" i="34"/>
  <c r="D210" i="34"/>
  <c r="F202" i="34"/>
  <c r="D42" i="34"/>
  <c r="D256" i="34"/>
  <c r="F162" i="34"/>
  <c r="D43" i="34"/>
  <c r="F163" i="34"/>
  <c r="F249" i="34"/>
  <c r="D128" i="34"/>
  <c r="F88" i="34"/>
  <c r="F66" i="34"/>
  <c r="D88" i="34"/>
  <c r="D87" i="34"/>
  <c r="F128" i="34"/>
  <c r="F156" i="34"/>
  <c r="F87" i="34"/>
  <c r="F182" i="34"/>
  <c r="F78" i="34"/>
  <c r="F46" i="34"/>
  <c r="D66" i="34"/>
  <c r="F32" i="34"/>
  <c r="D46" i="34"/>
  <c r="F98" i="34"/>
  <c r="D81" i="34"/>
  <c r="D185" i="34"/>
  <c r="F240" i="34"/>
  <c r="F55" i="34"/>
  <c r="F15" i="34"/>
  <c r="F227" i="34"/>
  <c r="F59" i="34"/>
  <c r="D61" i="34"/>
  <c r="D104" i="34"/>
  <c r="F69" i="34"/>
  <c r="D125" i="34"/>
  <c r="D169" i="34"/>
  <c r="D232" i="34"/>
  <c r="F248" i="34"/>
  <c r="F57" i="34"/>
  <c r="D24" i="34"/>
  <c r="F18" i="34"/>
  <c r="D233" i="34"/>
  <c r="F142" i="34"/>
  <c r="F16" i="38"/>
  <c r="D45" i="34"/>
  <c r="F65" i="34"/>
  <c r="F14" i="34"/>
  <c r="F45" i="34"/>
  <c r="D65" i="34"/>
  <c r="D245" i="34"/>
  <c r="F139" i="34"/>
  <c r="F116" i="34"/>
  <c r="D166" i="34"/>
  <c r="D229" i="34"/>
  <c r="D39" i="34"/>
  <c r="F92" i="34"/>
  <c r="F217" i="34"/>
  <c r="F159" i="34"/>
  <c r="D44" i="34"/>
  <c r="F86" i="34"/>
  <c r="F75" i="34"/>
  <c r="F223" i="34"/>
  <c r="F33" i="34"/>
  <c r="D252" i="34"/>
  <c r="F27" i="34"/>
  <c r="F110" i="34"/>
  <c r="F173" i="34"/>
  <c r="F154" i="34"/>
  <c r="F222" i="34"/>
  <c r="F51" i="34"/>
  <c r="F195" i="34"/>
  <c r="F178" i="34"/>
  <c r="F54" i="34"/>
  <c r="F111" i="34"/>
  <c r="D86" i="34"/>
  <c r="F7" i="34"/>
  <c r="D106" i="34"/>
  <c r="D187" i="34"/>
  <c r="F118" i="34"/>
  <c r="D148" i="34"/>
  <c r="F17" i="34"/>
  <c r="D230" i="34"/>
  <c r="D188" i="34"/>
  <c r="D107" i="34"/>
  <c r="D85" i="34"/>
  <c r="D149" i="34"/>
  <c r="F226" i="34"/>
  <c r="F119" i="34"/>
  <c r="D193" i="34"/>
  <c r="F155" i="34"/>
  <c r="F166" i="34"/>
  <c r="D32" i="34"/>
  <c r="F70" i="34"/>
  <c r="D191" i="34"/>
  <c r="F67" i="34"/>
  <c r="F218" i="34"/>
  <c r="D67" i="34"/>
  <c r="F115" i="34"/>
  <c r="D133" i="34"/>
  <c r="D192" i="34"/>
  <c r="F47" i="34"/>
  <c r="F219" i="34"/>
  <c r="F175" i="34"/>
  <c r="F93" i="34"/>
  <c r="F194" i="34"/>
  <c r="D131" i="34"/>
  <c r="D108" i="34"/>
  <c r="F145" i="34"/>
  <c r="F124" i="34"/>
  <c r="F205" i="34"/>
  <c r="F131" i="34"/>
  <c r="D156" i="34"/>
  <c r="D135" i="34"/>
  <c r="D73" i="34"/>
  <c r="F242" i="34"/>
  <c r="F94" i="34"/>
  <c r="D40" i="34"/>
  <c r="D90" i="34"/>
  <c r="D25" i="34"/>
  <c r="F62" i="34"/>
  <c r="F12" i="38"/>
  <c r="F44" i="34"/>
  <c r="D98" i="34"/>
  <c r="D223" i="34"/>
  <c r="D225" i="34"/>
  <c r="D158" i="34"/>
  <c r="F60" i="34"/>
  <c r="D143" i="34"/>
  <c r="D167" i="34"/>
  <c r="F241" i="34"/>
  <c r="F134" i="34"/>
  <c r="F28" i="34"/>
  <c r="D238" i="34"/>
  <c r="D215" i="34"/>
  <c r="D152" i="34"/>
  <c r="F7" i="38"/>
  <c r="F83" i="34"/>
  <c r="F144" i="34"/>
  <c r="F107" i="34"/>
  <c r="F169" i="34"/>
  <c r="D226" i="34"/>
  <c r="D97" i="34"/>
  <c r="D50" i="34"/>
  <c r="F63" i="34"/>
  <c r="F228" i="34"/>
  <c r="F257" i="34"/>
  <c r="F121" i="34"/>
  <c r="D110" i="34"/>
  <c r="D216" i="34"/>
  <c r="D136" i="34"/>
  <c r="D199" i="34"/>
  <c r="D55" i="34"/>
  <c r="D198" i="34"/>
  <c r="D59" i="34"/>
  <c r="D134" i="34"/>
  <c r="D16" i="34"/>
  <c r="D82" i="34"/>
  <c r="D206" i="34"/>
  <c r="F112" i="34"/>
  <c r="F11" i="34"/>
  <c r="D75" i="34"/>
  <c r="D36" i="34"/>
  <c r="D117" i="34"/>
  <c r="D68" i="34"/>
  <c r="D164" i="34"/>
  <c r="D19" i="34"/>
  <c r="D174" i="34"/>
  <c r="D28" i="34"/>
  <c r="D99" i="34"/>
  <c r="F108" i="34"/>
  <c r="F71" i="34"/>
  <c r="F135" i="34"/>
  <c r="F29" i="34"/>
  <c r="F13" i="38"/>
  <c r="F174" i="34"/>
  <c r="F10" i="34"/>
  <c r="F50" i="34"/>
  <c r="D47" i="34"/>
  <c r="D171" i="34"/>
  <c r="F64" i="34"/>
  <c r="F148" i="34"/>
  <c r="F253" i="34"/>
  <c r="F186" i="34"/>
  <c r="D132" i="34"/>
  <c r="D177" i="34"/>
  <c r="F238" i="34"/>
  <c r="D51" i="34"/>
  <c r="D248" i="34"/>
  <c r="D222" i="34"/>
  <c r="D195" i="34"/>
  <c r="D159" i="34"/>
  <c r="D119" i="34"/>
  <c r="D93" i="34"/>
  <c r="D49" i="34"/>
  <c r="D14" i="34"/>
  <c r="D247" i="34"/>
  <c r="D221" i="34"/>
  <c r="D194" i="34"/>
  <c r="D163" i="34"/>
  <c r="D118" i="34"/>
  <c r="D92" i="34"/>
  <c r="D53" i="34"/>
  <c r="D18" i="34"/>
  <c r="D176" i="34"/>
  <c r="D154" i="34"/>
  <c r="D120" i="34"/>
  <c r="D95" i="34"/>
  <c r="D69" i="34"/>
  <c r="D37" i="34"/>
  <c r="D12" i="34"/>
  <c r="F25" i="34"/>
  <c r="F9" i="38"/>
  <c r="F123" i="34"/>
  <c r="F149" i="34"/>
  <c r="F229" i="34"/>
  <c r="F106" i="34"/>
  <c r="F165" i="34"/>
  <c r="F207" i="34"/>
  <c r="F233" i="34"/>
  <c r="F42" i="34"/>
  <c r="F230" i="34"/>
  <c r="F103" i="34"/>
  <c r="F232" i="34"/>
  <c r="F146" i="34"/>
  <c r="F61" i="34"/>
  <c r="F170" i="34"/>
  <c r="F84" i="34"/>
  <c r="F105" i="34"/>
  <c r="F122" i="34"/>
  <c r="F38" i="34"/>
  <c r="F97" i="34"/>
  <c r="F74" i="34"/>
  <c r="F198" i="34"/>
  <c r="D57" i="34"/>
  <c r="D94" i="34"/>
  <c r="D250" i="34"/>
  <c r="D101" i="34"/>
  <c r="D196" i="34"/>
  <c r="D178" i="34"/>
  <c r="D27" i="34"/>
  <c r="D160" i="34"/>
  <c r="D10" i="34"/>
  <c r="D242" i="34"/>
  <c r="D70" i="34"/>
  <c r="D181" i="34"/>
  <c r="D31" i="34"/>
  <c r="D218" i="34"/>
  <c r="D153" i="34"/>
  <c r="D78" i="34"/>
  <c r="D35" i="34"/>
  <c r="D9" i="34"/>
  <c r="D243" i="34"/>
  <c r="D217" i="34"/>
  <c r="D183" i="34"/>
  <c r="D157" i="34"/>
  <c r="D113" i="34"/>
  <c r="D76" i="34"/>
  <c r="D48" i="34"/>
  <c r="D13" i="34"/>
  <c r="D172" i="34"/>
  <c r="D142" i="34"/>
  <c r="D116" i="34"/>
  <c r="D91" i="34"/>
  <c r="D58" i="34"/>
  <c r="D33" i="34"/>
  <c r="D8" i="34"/>
  <c r="F171" i="34"/>
  <c r="F188" i="34"/>
  <c r="F252" i="34"/>
  <c r="F187" i="34"/>
  <c r="F251" i="34"/>
  <c r="F231" i="34"/>
  <c r="F127" i="34"/>
  <c r="F82" i="34"/>
  <c r="F126" i="34"/>
  <c r="F208" i="34"/>
  <c r="F185" i="34"/>
  <c r="F20" i="34"/>
  <c r="F125" i="34"/>
  <c r="F41" i="34"/>
  <c r="F184" i="34"/>
  <c r="F85" i="34"/>
  <c r="F255" i="34"/>
  <c r="F22" i="34"/>
  <c r="F39" i="34"/>
  <c r="F8" i="38"/>
  <c r="D201" i="34"/>
  <c r="D227" i="34"/>
  <c r="D26" i="34"/>
  <c r="D182" i="34"/>
  <c r="D17" i="34"/>
  <c r="D115" i="34"/>
  <c r="D111" i="34"/>
  <c r="D219" i="34"/>
  <c r="D74" i="34"/>
  <c r="D246" i="34"/>
  <c r="D173" i="34"/>
  <c r="D249" i="34"/>
  <c r="D100" i="34"/>
  <c r="D244" i="34"/>
  <c r="D180" i="34"/>
  <c r="D114" i="34"/>
  <c r="D161" i="34"/>
  <c r="D96" i="34"/>
  <c r="D11" i="34"/>
  <c r="D200" i="34"/>
  <c r="D141" i="34"/>
  <c r="D56" i="34"/>
  <c r="D197" i="34"/>
  <c r="D220" i="34"/>
  <c r="D224" i="34"/>
  <c r="D137" i="34"/>
  <c r="D52" i="34"/>
  <c r="D241" i="34"/>
  <c r="D155" i="34"/>
  <c r="D79" i="34"/>
  <c r="D15" i="34"/>
  <c r="D240" i="34"/>
  <c r="D203" i="34"/>
  <c r="D175" i="34"/>
  <c r="D140" i="34"/>
  <c r="D109" i="34"/>
  <c r="D72" i="34"/>
  <c r="D30" i="34"/>
  <c r="F152" i="34"/>
  <c r="D239" i="34"/>
  <c r="D202" i="34"/>
  <c r="D179" i="34"/>
  <c r="D139" i="34"/>
  <c r="D102" i="34"/>
  <c r="D71" i="34"/>
  <c r="D34" i="34"/>
  <c r="F215" i="34"/>
  <c r="D162" i="34"/>
  <c r="D138" i="34"/>
  <c r="D112" i="34"/>
  <c r="D77" i="34"/>
  <c r="D54" i="34"/>
  <c r="D29" i="34"/>
  <c r="F191" i="34"/>
  <c r="F209" i="34"/>
  <c r="F21" i="34"/>
  <c r="F254" i="34"/>
  <c r="F258" i="34"/>
  <c r="F206" i="34"/>
  <c r="F43" i="34"/>
  <c r="F104" i="34"/>
  <c r="F24" i="34"/>
  <c r="F168" i="34"/>
  <c r="F81" i="34"/>
  <c r="F210" i="34"/>
  <c r="F23" i="34"/>
  <c r="F40" i="34"/>
  <c r="F80" i="34"/>
  <c r="F256" i="34"/>
  <c r="F147" i="34"/>
  <c r="F167" i="34"/>
  <c r="D208" i="34"/>
  <c r="F245" i="34"/>
  <c r="F138" i="34"/>
  <c r="F15" i="38"/>
  <c r="F53" i="34"/>
  <c r="F137" i="34"/>
  <c r="F221" i="34"/>
  <c r="F73" i="34"/>
  <c r="F158" i="34"/>
  <c r="F244" i="34"/>
  <c r="F13" i="34"/>
  <c r="F96" i="34"/>
  <c r="F31" i="34"/>
  <c r="F177" i="34"/>
  <c r="F197" i="34"/>
  <c r="D147" i="34"/>
  <c r="F114" i="34"/>
  <c r="F18" i="38"/>
  <c r="F76" i="34"/>
  <c r="F161" i="34"/>
  <c r="F247" i="34"/>
  <c r="F16" i="34"/>
  <c r="F99" i="34"/>
  <c r="F180" i="34"/>
  <c r="F34" i="34"/>
  <c r="F56" i="34"/>
  <c r="F117" i="34"/>
  <c r="D124" i="34"/>
  <c r="F200" i="34"/>
  <c r="F224" i="34"/>
  <c r="D255" i="34"/>
  <c r="F140" i="34"/>
  <c r="F10" i="38"/>
  <c r="F68" i="34"/>
  <c r="F153" i="34"/>
  <c r="F239" i="34"/>
  <c r="F8" i="34"/>
  <c r="F91" i="34"/>
  <c r="F172" i="34"/>
  <c r="F26" i="34"/>
  <c r="F109" i="34"/>
  <c r="D20" i="34"/>
  <c r="D103" i="34"/>
  <c r="D184" i="34"/>
  <c r="F216" i="34"/>
  <c r="D38" i="34"/>
  <c r="D121" i="34"/>
  <c r="D204" i="34"/>
  <c r="F192" i="34"/>
  <c r="F48" i="34"/>
  <c r="D144" i="34"/>
  <c r="D165" i="34"/>
  <c r="D251" i="34"/>
  <c r="F132" i="34"/>
  <c r="D60" i="34"/>
  <c r="D228" i="34"/>
  <c r="D80" i="34"/>
  <c r="F14" i="38"/>
  <c r="F72" i="34"/>
  <c r="F157" i="34"/>
  <c r="F243" i="34"/>
  <c r="F12" i="34"/>
  <c r="F95" i="34"/>
  <c r="F176" i="34"/>
  <c r="F30" i="34"/>
  <c r="F196" i="34"/>
  <c r="D83" i="34"/>
  <c r="D168" i="34"/>
  <c r="D253" i="34"/>
  <c r="F136" i="34"/>
  <c r="D22" i="34"/>
  <c r="D105" i="34"/>
  <c r="D186" i="34"/>
  <c r="F113" i="34"/>
  <c r="F220" i="34"/>
  <c r="D41" i="34"/>
  <c r="D207" i="34"/>
  <c r="D62" i="34"/>
  <c r="D231" i="34"/>
  <c r="F52" i="34"/>
  <c r="D123" i="34"/>
  <c r="D146" i="34"/>
  <c r="B7" i="37"/>
  <c r="F8" i="37"/>
  <c r="F12" i="37"/>
  <c r="F16" i="37"/>
  <c r="F20" i="37"/>
  <c r="E9" i="37"/>
  <c r="E13" i="37"/>
  <c r="E17" i="37"/>
  <c r="E21" i="37"/>
  <c r="E8" i="37"/>
  <c r="F9" i="37"/>
  <c r="F13" i="37"/>
  <c r="F17" i="37"/>
  <c r="F21" i="37"/>
  <c r="E10" i="37"/>
  <c r="E14" i="37"/>
  <c r="E18" i="37"/>
  <c r="E19" i="37"/>
  <c r="F7" i="37"/>
  <c r="F15" i="37"/>
  <c r="E12" i="37"/>
  <c r="E20" i="37"/>
  <c r="F10" i="37"/>
  <c r="F14" i="37"/>
  <c r="F18" i="37"/>
  <c r="E7" i="37"/>
  <c r="E11" i="37"/>
  <c r="E15" i="37"/>
  <c r="F11" i="37"/>
  <c r="F19" i="37"/>
  <c r="G19" i="37" s="1"/>
  <c r="E16" i="37"/>
  <c r="C10" i="37"/>
  <c r="C21" i="37"/>
  <c r="C17" i="37"/>
  <c r="C13" i="37"/>
  <c r="C9" i="37"/>
  <c r="C19" i="37"/>
  <c r="C15" i="37"/>
  <c r="C11" i="37"/>
  <c r="C7" i="37"/>
  <c r="C18" i="37"/>
  <c r="C14" i="37"/>
  <c r="C20" i="37"/>
  <c r="C16" i="37"/>
  <c r="C12" i="37"/>
  <c r="C8" i="37"/>
  <c r="B18" i="37"/>
  <c r="B14" i="37"/>
  <c r="B17" i="37"/>
  <c r="B9" i="37"/>
  <c r="B20" i="37"/>
  <c r="B16" i="37"/>
  <c r="B12" i="37"/>
  <c r="B8" i="37"/>
  <c r="B10" i="37"/>
  <c r="B21" i="37"/>
  <c r="B13" i="37"/>
  <c r="B19" i="37"/>
  <c r="B15" i="37"/>
  <c r="B11" i="37"/>
  <c r="A8" i="37"/>
  <c r="A9" i="37"/>
  <c r="A10" i="37"/>
  <c r="A11" i="37"/>
  <c r="A12" i="37"/>
  <c r="A13" i="37"/>
  <c r="A14" i="37"/>
  <c r="A15" i="37"/>
  <c r="A16" i="37"/>
  <c r="A17" i="37"/>
  <c r="A18" i="37"/>
  <c r="A19" i="37"/>
  <c r="A20" i="37"/>
  <c r="A21" i="37"/>
  <c r="A7" i="37"/>
  <c r="G14" i="37" l="1"/>
  <c r="G10" i="37"/>
  <c r="M5" i="36"/>
  <c r="L7" i="36"/>
  <c r="L11" i="36"/>
  <c r="L15" i="36"/>
  <c r="L19" i="36"/>
  <c r="L9" i="36"/>
  <c r="L17" i="36"/>
  <c r="L21" i="36"/>
  <c r="L8" i="36"/>
  <c r="L12" i="36"/>
  <c r="L16" i="36"/>
  <c r="L20" i="36"/>
  <c r="L13" i="36"/>
  <c r="L10" i="36"/>
  <c r="L14" i="36"/>
  <c r="L18" i="36"/>
  <c r="G11" i="37"/>
  <c r="G13" i="37"/>
  <c r="G21" i="37"/>
  <c r="G17" i="37"/>
  <c r="D14" i="37"/>
  <c r="D15" i="37"/>
  <c r="D17" i="37"/>
  <c r="D18" i="37"/>
  <c r="G18" i="37"/>
  <c r="G8" i="37"/>
  <c r="D7" i="37"/>
  <c r="D10" i="37"/>
  <c r="G16" i="37"/>
  <c r="D12" i="37"/>
  <c r="D19" i="37"/>
  <c r="D21" i="37"/>
  <c r="G20" i="37"/>
  <c r="D8" i="37"/>
  <c r="D9" i="37"/>
  <c r="G15" i="37"/>
  <c r="D20" i="37"/>
  <c r="D11" i="37"/>
  <c r="D13" i="37"/>
  <c r="G7" i="37"/>
  <c r="G9" i="37"/>
  <c r="G12" i="37"/>
  <c r="I16" i="37"/>
  <c r="D16" i="37"/>
  <c r="I8" i="37"/>
  <c r="I17" i="37"/>
  <c r="I20" i="37"/>
  <c r="I18" i="37"/>
  <c r="I21" i="37"/>
  <c r="I7" i="37"/>
  <c r="I9" i="37"/>
  <c r="I11" i="37"/>
  <c r="I12" i="37"/>
  <c r="I19" i="37"/>
  <c r="I10" i="37"/>
  <c r="H15" i="37"/>
  <c r="H20" i="37"/>
  <c r="H19" i="37"/>
  <c r="H9" i="37"/>
  <c r="I13" i="37"/>
  <c r="H10" i="37"/>
  <c r="H8" i="37"/>
  <c r="H13" i="37"/>
  <c r="H12" i="37"/>
  <c r="H17" i="37"/>
  <c r="I14" i="37"/>
  <c r="I15" i="37"/>
  <c r="H18" i="37"/>
  <c r="H11" i="37"/>
  <c r="H21" i="37"/>
  <c r="H16" i="37"/>
  <c r="H14" i="37"/>
  <c r="H7" i="37"/>
  <c r="A21" i="36"/>
  <c r="B21" i="36"/>
  <c r="A8" i="36"/>
  <c r="B8" i="36"/>
  <c r="A9" i="36"/>
  <c r="B9" i="36"/>
  <c r="A10" i="36"/>
  <c r="B10" i="36"/>
  <c r="A11" i="36"/>
  <c r="B11" i="36"/>
  <c r="A12" i="36"/>
  <c r="B12" i="36"/>
  <c r="A13" i="36"/>
  <c r="B13" i="36"/>
  <c r="A14" i="36"/>
  <c r="B14" i="36"/>
  <c r="A15" i="36"/>
  <c r="B15" i="36"/>
  <c r="A16" i="36"/>
  <c r="B16" i="36"/>
  <c r="A17" i="36"/>
  <c r="B17" i="36"/>
  <c r="A18" i="36"/>
  <c r="B18" i="36"/>
  <c r="A19" i="36"/>
  <c r="B19" i="36"/>
  <c r="A20" i="36"/>
  <c r="B20" i="36"/>
  <c r="B7" i="36"/>
  <c r="A7" i="36"/>
  <c r="N5" i="36" l="1"/>
  <c r="M8" i="36"/>
  <c r="M12" i="36"/>
  <c r="M16" i="36"/>
  <c r="M20" i="36"/>
  <c r="M13" i="36"/>
  <c r="M21" i="36"/>
  <c r="M10" i="36"/>
  <c r="M18" i="36"/>
  <c r="M9" i="36"/>
  <c r="M17" i="36"/>
  <c r="M14" i="36"/>
  <c r="M7" i="36"/>
  <c r="M19" i="36"/>
  <c r="M11" i="36"/>
  <c r="M15" i="36"/>
  <c r="I5" i="34"/>
  <c r="H5" i="34"/>
  <c r="A5" i="34"/>
  <c r="N9" i="36" l="1"/>
  <c r="N13" i="36"/>
  <c r="N17" i="36"/>
  <c r="N21" i="36"/>
  <c r="N14" i="36"/>
  <c r="N18" i="36"/>
  <c r="N7" i="36"/>
  <c r="N15" i="36"/>
  <c r="N19" i="36"/>
  <c r="N10" i="36"/>
  <c r="N11" i="36"/>
  <c r="N8" i="36"/>
  <c r="N12" i="36"/>
  <c r="N16" i="36"/>
  <c r="N20" i="36"/>
  <c r="J5" i="34"/>
  <c r="K22" i="36"/>
  <c r="L22" i="36"/>
  <c r="F22" i="36"/>
  <c r="H22" i="36"/>
  <c r="G22" i="36"/>
  <c r="D22" i="36"/>
  <c r="C22" i="36"/>
  <c r="M22" i="36"/>
  <c r="J22" i="36"/>
  <c r="I22" i="36"/>
  <c r="E22" i="36"/>
  <c r="G258" i="34"/>
  <c r="M258" i="34"/>
  <c r="N258" i="34"/>
  <c r="O258" i="34"/>
  <c r="G127" i="34"/>
  <c r="M127" i="34"/>
  <c r="N127" i="34"/>
  <c r="O127" i="34"/>
  <c r="G24" i="34"/>
  <c r="G43" i="34"/>
  <c r="G64" i="34"/>
  <c r="G85" i="34"/>
  <c r="G107" i="34"/>
  <c r="G126" i="34"/>
  <c r="G149" i="34"/>
  <c r="G170" i="34"/>
  <c r="G188" i="34"/>
  <c r="G210" i="34"/>
  <c r="G233" i="34"/>
  <c r="G257" i="34"/>
  <c r="M24" i="34"/>
  <c r="M43" i="34"/>
  <c r="M64" i="34"/>
  <c r="M85" i="34"/>
  <c r="M107" i="34"/>
  <c r="M126" i="34"/>
  <c r="M149" i="34"/>
  <c r="M170" i="34"/>
  <c r="M188" i="34"/>
  <c r="M210" i="34"/>
  <c r="M233" i="34"/>
  <c r="M257" i="34"/>
  <c r="N24" i="34"/>
  <c r="N43" i="34"/>
  <c r="N64" i="34"/>
  <c r="N85" i="34"/>
  <c r="N107" i="34"/>
  <c r="N126" i="34"/>
  <c r="N149" i="34"/>
  <c r="N170" i="34"/>
  <c r="N188" i="34"/>
  <c r="N210" i="34"/>
  <c r="N233" i="34"/>
  <c r="N257" i="34"/>
  <c r="O24" i="34"/>
  <c r="O43" i="34"/>
  <c r="O64" i="34"/>
  <c r="O85" i="34"/>
  <c r="O107" i="34"/>
  <c r="O126" i="34"/>
  <c r="O149" i="34"/>
  <c r="O170" i="34"/>
  <c r="O188" i="34"/>
  <c r="O210" i="34"/>
  <c r="O233" i="34"/>
  <c r="O257" i="34"/>
  <c r="G23" i="34"/>
  <c r="G42" i="34"/>
  <c r="G63" i="34"/>
  <c r="G84" i="34"/>
  <c r="G106" i="34"/>
  <c r="G125" i="34"/>
  <c r="G148" i="34"/>
  <c r="G169" i="34"/>
  <c r="G187" i="34"/>
  <c r="G209" i="34"/>
  <c r="G232" i="34"/>
  <c r="G256" i="34"/>
  <c r="M23" i="34"/>
  <c r="M42" i="34"/>
  <c r="M63" i="34"/>
  <c r="M84" i="34"/>
  <c r="M106" i="34"/>
  <c r="M125" i="34"/>
  <c r="M148" i="34"/>
  <c r="M169" i="34"/>
  <c r="M187" i="34"/>
  <c r="M209" i="34"/>
  <c r="M232" i="34"/>
  <c r="M256" i="34"/>
  <c r="N23" i="34"/>
  <c r="N42" i="34"/>
  <c r="N63" i="34"/>
  <c r="N84" i="34"/>
  <c r="N106" i="34"/>
  <c r="N125" i="34"/>
  <c r="N148" i="34"/>
  <c r="N169" i="34"/>
  <c r="N187" i="34"/>
  <c r="N209" i="34"/>
  <c r="N232" i="34"/>
  <c r="N256" i="34"/>
  <c r="O23" i="34"/>
  <c r="O42" i="34"/>
  <c r="O63" i="34"/>
  <c r="O84" i="34"/>
  <c r="O106" i="34"/>
  <c r="O125" i="34"/>
  <c r="O148" i="34"/>
  <c r="O169" i="34"/>
  <c r="O187" i="34"/>
  <c r="O209" i="34"/>
  <c r="O232" i="34"/>
  <c r="O256" i="34"/>
  <c r="G255" i="34"/>
  <c r="M255" i="34"/>
  <c r="N255" i="34"/>
  <c r="O255" i="34"/>
  <c r="G124" i="34"/>
  <c r="M124" i="34"/>
  <c r="N124" i="34"/>
  <c r="O124" i="34"/>
  <c r="G254" i="34"/>
  <c r="M254" i="34"/>
  <c r="N254" i="34"/>
  <c r="O254" i="34"/>
  <c r="G208" i="34"/>
  <c r="M208" i="34"/>
  <c r="N208" i="34"/>
  <c r="O208" i="34"/>
  <c r="G147" i="34"/>
  <c r="M147" i="34"/>
  <c r="N147" i="34"/>
  <c r="O147" i="34"/>
  <c r="G7" i="34"/>
  <c r="G8" i="34"/>
  <c r="G9" i="34"/>
  <c r="G10" i="34"/>
  <c r="G11" i="34"/>
  <c r="G12" i="34"/>
  <c r="G13" i="34"/>
  <c r="G14" i="34"/>
  <c r="G15" i="34"/>
  <c r="G16" i="34"/>
  <c r="G17" i="34"/>
  <c r="G18" i="34"/>
  <c r="G19" i="34"/>
  <c r="G25" i="34"/>
  <c r="G26" i="34"/>
  <c r="G27" i="34"/>
  <c r="G28" i="34"/>
  <c r="G29" i="34"/>
  <c r="G30" i="34"/>
  <c r="G31" i="34"/>
  <c r="G32" i="34"/>
  <c r="G33" i="34"/>
  <c r="G34" i="34"/>
  <c r="G35" i="34"/>
  <c r="G36" i="34"/>
  <c r="G37" i="34"/>
  <c r="G47" i="34"/>
  <c r="G48" i="34"/>
  <c r="G49" i="34"/>
  <c r="G50" i="34"/>
  <c r="G51" i="34"/>
  <c r="G52" i="34"/>
  <c r="G53" i="34"/>
  <c r="G54" i="34"/>
  <c r="G55" i="34"/>
  <c r="G56" i="34"/>
  <c r="G57" i="34"/>
  <c r="G58" i="34"/>
  <c r="G59" i="34"/>
  <c r="G67" i="34"/>
  <c r="G68" i="34"/>
  <c r="G69" i="34"/>
  <c r="G70" i="34"/>
  <c r="G71" i="34"/>
  <c r="G72" i="34"/>
  <c r="G73" i="34"/>
  <c r="G74" i="34"/>
  <c r="G75" i="34"/>
  <c r="G76" i="34"/>
  <c r="G77" i="34"/>
  <c r="G78" i="34"/>
  <c r="G79" i="34"/>
  <c r="G90" i="34"/>
  <c r="G91" i="34"/>
  <c r="G92" i="34"/>
  <c r="G93" i="34"/>
  <c r="G94" i="34"/>
  <c r="G95" i="34"/>
  <c r="G96" i="34"/>
  <c r="G97" i="34"/>
  <c r="G98" i="34"/>
  <c r="G99" i="34"/>
  <c r="G100" i="34"/>
  <c r="G101" i="34"/>
  <c r="G102" i="34"/>
  <c r="G108" i="34"/>
  <c r="G109" i="34"/>
  <c r="G110" i="34"/>
  <c r="G111" i="34"/>
  <c r="G112" i="34"/>
  <c r="G113" i="34"/>
  <c r="G114" i="34"/>
  <c r="G115" i="34"/>
  <c r="G116" i="34"/>
  <c r="G117" i="34"/>
  <c r="G118" i="34"/>
  <c r="G119" i="34"/>
  <c r="G120" i="34"/>
  <c r="G131" i="34"/>
  <c r="G132" i="34"/>
  <c r="G133" i="34"/>
  <c r="G134" i="34"/>
  <c r="G135" i="34"/>
  <c r="G136" i="34"/>
  <c r="G137" i="34"/>
  <c r="G138" i="34"/>
  <c r="G139" i="34"/>
  <c r="G140" i="34"/>
  <c r="G141" i="34"/>
  <c r="G142" i="34"/>
  <c r="G143" i="34"/>
  <c r="G152" i="34"/>
  <c r="G153" i="34"/>
  <c r="G154" i="34"/>
  <c r="G155" i="34"/>
  <c r="G156" i="34"/>
  <c r="G157" i="34"/>
  <c r="G158" i="34"/>
  <c r="G159" i="34"/>
  <c r="G160" i="34"/>
  <c r="G161" i="34"/>
  <c r="G162" i="34"/>
  <c r="G163" i="34"/>
  <c r="G164" i="34"/>
  <c r="G171" i="34"/>
  <c r="G172" i="34"/>
  <c r="G173" i="34"/>
  <c r="G174" i="34"/>
  <c r="G175" i="34"/>
  <c r="G176" i="34"/>
  <c r="G177" i="34"/>
  <c r="G178" i="34"/>
  <c r="G179" i="34"/>
  <c r="G180" i="34"/>
  <c r="G181" i="34"/>
  <c r="G182" i="34"/>
  <c r="G183" i="34"/>
  <c r="G191" i="34"/>
  <c r="G192" i="34"/>
  <c r="G193" i="34"/>
  <c r="G194" i="34"/>
  <c r="G195" i="34"/>
  <c r="G196" i="34"/>
  <c r="G197" i="34"/>
  <c r="G198" i="34"/>
  <c r="G199" i="34"/>
  <c r="G200" i="34"/>
  <c r="G201" i="34"/>
  <c r="G202" i="34"/>
  <c r="G203" i="34"/>
  <c r="G215" i="34"/>
  <c r="G216" i="34"/>
  <c r="G217" i="34"/>
  <c r="G218" i="34"/>
  <c r="G219" i="34"/>
  <c r="G220" i="34"/>
  <c r="G221" i="34"/>
  <c r="G222" i="34"/>
  <c r="G223" i="34"/>
  <c r="G224" i="34"/>
  <c r="G225" i="34"/>
  <c r="G226" i="34"/>
  <c r="G227" i="34"/>
  <c r="G238" i="34"/>
  <c r="G239" i="34"/>
  <c r="G240" i="34"/>
  <c r="G241" i="34"/>
  <c r="G242" i="34"/>
  <c r="G243" i="34"/>
  <c r="G244" i="34"/>
  <c r="G245" i="34"/>
  <c r="G246" i="34"/>
  <c r="G247" i="34"/>
  <c r="G248" i="34"/>
  <c r="G249" i="34"/>
  <c r="G250" i="34"/>
  <c r="G20" i="34"/>
  <c r="G38" i="34"/>
  <c r="G60" i="34"/>
  <c r="G80" i="34"/>
  <c r="G103" i="34"/>
  <c r="G121" i="34"/>
  <c r="G144" i="34"/>
  <c r="G165" i="34"/>
  <c r="G184" i="34"/>
  <c r="G204" i="34"/>
  <c r="G228" i="34"/>
  <c r="G251" i="34"/>
  <c r="G21" i="34"/>
  <c r="G39" i="34"/>
  <c r="G61" i="34"/>
  <c r="G81" i="34"/>
  <c r="G104" i="34"/>
  <c r="G122" i="34"/>
  <c r="G145" i="34"/>
  <c r="G166" i="34"/>
  <c r="G185" i="34"/>
  <c r="G205" i="34"/>
  <c r="G229" i="34"/>
  <c r="G252" i="34"/>
  <c r="G40" i="34"/>
  <c r="G167" i="34"/>
  <c r="G230" i="34"/>
  <c r="G82" i="34"/>
  <c r="G206" i="34"/>
  <c r="G22" i="34"/>
  <c r="G41" i="34"/>
  <c r="G62" i="34"/>
  <c r="G83" i="34"/>
  <c r="G105" i="34"/>
  <c r="G123" i="34"/>
  <c r="G146" i="34"/>
  <c r="G168" i="34"/>
  <c r="G186" i="34"/>
  <c r="G207" i="34"/>
  <c r="G231" i="34"/>
  <c r="G253" i="34"/>
  <c r="N22" i="36" l="1"/>
  <c r="M22" i="34"/>
  <c r="M41" i="34"/>
  <c r="M62" i="34"/>
  <c r="M83" i="34"/>
  <c r="M105" i="34"/>
  <c r="M123" i="34"/>
  <c r="M146" i="34"/>
  <c r="M168" i="34"/>
  <c r="M186" i="34"/>
  <c r="M207" i="34"/>
  <c r="M231" i="34"/>
  <c r="M253" i="34"/>
  <c r="N22" i="34"/>
  <c r="N41" i="34"/>
  <c r="N62" i="34"/>
  <c r="N83" i="34"/>
  <c r="N105" i="34"/>
  <c r="N123" i="34"/>
  <c r="N146" i="34"/>
  <c r="N168" i="34"/>
  <c r="N186" i="34"/>
  <c r="N207" i="34"/>
  <c r="N231" i="34"/>
  <c r="N253" i="34"/>
  <c r="O22" i="34"/>
  <c r="O41" i="34"/>
  <c r="O62" i="34"/>
  <c r="O83" i="34"/>
  <c r="O105" i="34"/>
  <c r="O123" i="34"/>
  <c r="O146" i="34"/>
  <c r="O168" i="34"/>
  <c r="O186" i="34"/>
  <c r="O207" i="34"/>
  <c r="O231" i="34"/>
  <c r="O253" i="34"/>
  <c r="M206" i="34"/>
  <c r="N206" i="34"/>
  <c r="O206" i="34"/>
  <c r="M82" i="34"/>
  <c r="N82" i="34"/>
  <c r="O82" i="34"/>
  <c r="M230" i="34"/>
  <c r="N230" i="34"/>
  <c r="O230" i="34"/>
  <c r="M167" i="34"/>
  <c r="N167" i="34"/>
  <c r="O167" i="34"/>
  <c r="M40" i="34"/>
  <c r="N40" i="34"/>
  <c r="O40" i="34"/>
  <c r="M21" i="34"/>
  <c r="M39" i="34"/>
  <c r="M61" i="34"/>
  <c r="M81" i="34"/>
  <c r="M104" i="34"/>
  <c r="M122" i="34"/>
  <c r="M145" i="34"/>
  <c r="M166" i="34"/>
  <c r="M185" i="34"/>
  <c r="M205" i="34"/>
  <c r="M229" i="34"/>
  <c r="M252" i="34"/>
  <c r="N21" i="34"/>
  <c r="N39" i="34"/>
  <c r="N61" i="34"/>
  <c r="N81" i="34"/>
  <c r="N104" i="34"/>
  <c r="N122" i="34"/>
  <c r="N145" i="34"/>
  <c r="N166" i="34"/>
  <c r="N185" i="34"/>
  <c r="N205" i="34"/>
  <c r="N229" i="34"/>
  <c r="N252" i="34"/>
  <c r="O21" i="34"/>
  <c r="O39" i="34"/>
  <c r="O61" i="34"/>
  <c r="O81" i="34"/>
  <c r="O104" i="34"/>
  <c r="O122" i="34"/>
  <c r="O145" i="34"/>
  <c r="O166" i="34"/>
  <c r="O185" i="34"/>
  <c r="O205" i="34"/>
  <c r="O229" i="34"/>
  <c r="O252" i="34"/>
  <c r="M38" i="34"/>
  <c r="M60" i="34"/>
  <c r="M80" i="34"/>
  <c r="M103" i="34"/>
  <c r="M121" i="34"/>
  <c r="M144" i="34"/>
  <c r="M165" i="34"/>
  <c r="M184" i="34"/>
  <c r="M204" i="34"/>
  <c r="M228" i="34"/>
  <c r="M251" i="34"/>
  <c r="N38" i="34"/>
  <c r="N60" i="34"/>
  <c r="N80" i="34"/>
  <c r="N103" i="34"/>
  <c r="N121" i="34"/>
  <c r="N144" i="34"/>
  <c r="N165" i="34"/>
  <c r="N184" i="34"/>
  <c r="N204" i="34"/>
  <c r="N228" i="34"/>
  <c r="N251" i="34"/>
  <c r="O38" i="34"/>
  <c r="O60" i="34"/>
  <c r="O80" i="34"/>
  <c r="O103" i="34"/>
  <c r="O121" i="34"/>
  <c r="O144" i="34"/>
  <c r="O165" i="34"/>
  <c r="O184" i="34"/>
  <c r="O204" i="34"/>
  <c r="O228" i="34"/>
  <c r="O251" i="34"/>
  <c r="M20" i="34"/>
  <c r="N20" i="34"/>
  <c r="O20" i="34"/>
  <c r="M238" i="34"/>
  <c r="M239" i="34"/>
  <c r="M240" i="34"/>
  <c r="M241" i="34"/>
  <c r="M242" i="34"/>
  <c r="M243" i="34"/>
  <c r="M244" i="34"/>
  <c r="M245" i="34"/>
  <c r="M246" i="34"/>
  <c r="M247" i="34"/>
  <c r="M248" i="34"/>
  <c r="M249" i="34"/>
  <c r="M250" i="34"/>
  <c r="N238" i="34"/>
  <c r="N239" i="34"/>
  <c r="N240" i="34"/>
  <c r="N241" i="34"/>
  <c r="N242" i="34"/>
  <c r="N243" i="34"/>
  <c r="N244" i="34"/>
  <c r="N245" i="34"/>
  <c r="N246" i="34"/>
  <c r="N247" i="34"/>
  <c r="N248" i="34"/>
  <c r="N249" i="34"/>
  <c r="N250" i="34"/>
  <c r="O238" i="34"/>
  <c r="O239" i="34"/>
  <c r="O240" i="34"/>
  <c r="O241" i="34"/>
  <c r="O242" i="34"/>
  <c r="O243" i="34"/>
  <c r="O244" i="34"/>
  <c r="O245" i="34"/>
  <c r="O246" i="34"/>
  <c r="O247" i="34"/>
  <c r="O248" i="34"/>
  <c r="O249" i="34"/>
  <c r="O250" i="34"/>
  <c r="M215" i="34"/>
  <c r="M216" i="34"/>
  <c r="M217" i="34"/>
  <c r="M218" i="34"/>
  <c r="M219" i="34"/>
  <c r="M220" i="34"/>
  <c r="M221" i="34"/>
  <c r="M222" i="34"/>
  <c r="M223" i="34"/>
  <c r="M224" i="34"/>
  <c r="M225" i="34"/>
  <c r="M226" i="34"/>
  <c r="M227" i="34"/>
  <c r="N215" i="34"/>
  <c r="N216" i="34"/>
  <c r="N217" i="34"/>
  <c r="N218" i="34"/>
  <c r="N219" i="34"/>
  <c r="N220" i="34"/>
  <c r="N221" i="34"/>
  <c r="N222" i="34"/>
  <c r="N223" i="34"/>
  <c r="N224" i="34"/>
  <c r="N225" i="34"/>
  <c r="N226" i="34"/>
  <c r="N227" i="34"/>
  <c r="O215" i="34"/>
  <c r="O216" i="34"/>
  <c r="O217" i="34"/>
  <c r="O218" i="34"/>
  <c r="O219" i="34"/>
  <c r="O220" i="34"/>
  <c r="O221" i="34"/>
  <c r="O222" i="34"/>
  <c r="O223" i="34"/>
  <c r="O224" i="34"/>
  <c r="O225" i="34"/>
  <c r="O226" i="34"/>
  <c r="O227" i="34"/>
  <c r="M191" i="34"/>
  <c r="M192" i="34"/>
  <c r="M193" i="34"/>
  <c r="M194" i="34"/>
  <c r="M195" i="34"/>
  <c r="M196" i="34"/>
  <c r="M197" i="34"/>
  <c r="M198" i="34"/>
  <c r="M199" i="34"/>
  <c r="M200" i="34"/>
  <c r="M201" i="34"/>
  <c r="M202" i="34"/>
  <c r="M203" i="34"/>
  <c r="N191" i="34"/>
  <c r="N192" i="34"/>
  <c r="N193" i="34"/>
  <c r="N194" i="34"/>
  <c r="N195" i="34"/>
  <c r="N196" i="34"/>
  <c r="N197" i="34"/>
  <c r="N198" i="34"/>
  <c r="N199" i="34"/>
  <c r="N200" i="34"/>
  <c r="N201" i="34"/>
  <c r="N202" i="34"/>
  <c r="N203" i="34"/>
  <c r="O191" i="34"/>
  <c r="O192" i="34"/>
  <c r="O193" i="34"/>
  <c r="O194" i="34"/>
  <c r="O195" i="34"/>
  <c r="O196" i="34"/>
  <c r="O197" i="34"/>
  <c r="O198" i="34"/>
  <c r="O199" i="34"/>
  <c r="O200" i="34"/>
  <c r="O201" i="34"/>
  <c r="O202" i="34"/>
  <c r="O203" i="34"/>
  <c r="M171" i="34"/>
  <c r="M172" i="34"/>
  <c r="M173" i="34"/>
  <c r="M174" i="34"/>
  <c r="M175" i="34"/>
  <c r="M176" i="34"/>
  <c r="M177" i="34"/>
  <c r="M178" i="34"/>
  <c r="M179" i="34"/>
  <c r="M180" i="34"/>
  <c r="M181" i="34"/>
  <c r="M182" i="34"/>
  <c r="M183" i="34"/>
  <c r="N171" i="34"/>
  <c r="N172" i="34"/>
  <c r="N173" i="34"/>
  <c r="N174" i="34"/>
  <c r="N175" i="34"/>
  <c r="N176" i="34"/>
  <c r="N177" i="34"/>
  <c r="N178" i="34"/>
  <c r="N179" i="34"/>
  <c r="N180" i="34"/>
  <c r="N181" i="34"/>
  <c r="N182" i="34"/>
  <c r="N183" i="34"/>
  <c r="O171" i="34"/>
  <c r="O172" i="34"/>
  <c r="O173" i="34"/>
  <c r="O174" i="34"/>
  <c r="O175" i="34"/>
  <c r="O176" i="34"/>
  <c r="O177" i="34"/>
  <c r="O178" i="34"/>
  <c r="O179" i="34"/>
  <c r="O180" i="34"/>
  <c r="O181" i="34"/>
  <c r="O182" i="34"/>
  <c r="O183" i="34"/>
  <c r="M152" i="34"/>
  <c r="M153" i="34"/>
  <c r="M154" i="34"/>
  <c r="M155" i="34"/>
  <c r="M156" i="34"/>
  <c r="M157" i="34"/>
  <c r="M158" i="34"/>
  <c r="M159" i="34"/>
  <c r="M160" i="34"/>
  <c r="M161" i="34"/>
  <c r="M162" i="34"/>
  <c r="M163" i="34"/>
  <c r="M164" i="34"/>
  <c r="N152" i="34"/>
  <c r="N153" i="34"/>
  <c r="N154" i="34"/>
  <c r="N155" i="34"/>
  <c r="N156" i="34"/>
  <c r="N157" i="34"/>
  <c r="N158" i="34"/>
  <c r="N159" i="34"/>
  <c r="N160" i="34"/>
  <c r="N161" i="34"/>
  <c r="N162" i="34"/>
  <c r="N163" i="34"/>
  <c r="N164" i="34"/>
  <c r="O152" i="34"/>
  <c r="O153" i="34"/>
  <c r="O154" i="34"/>
  <c r="O155" i="34"/>
  <c r="O156" i="34"/>
  <c r="O157" i="34"/>
  <c r="O158" i="34"/>
  <c r="O159" i="34"/>
  <c r="O160" i="34"/>
  <c r="O161" i="34"/>
  <c r="O162" i="34"/>
  <c r="O163" i="34"/>
  <c r="O164" i="34"/>
  <c r="M131" i="34"/>
  <c r="M132" i="34"/>
  <c r="M133" i="34"/>
  <c r="M134" i="34"/>
  <c r="M135" i="34"/>
  <c r="M136" i="34"/>
  <c r="M137" i="34"/>
  <c r="M138" i="34"/>
  <c r="M139" i="34"/>
  <c r="M140" i="34"/>
  <c r="M141" i="34"/>
  <c r="M142" i="34"/>
  <c r="M143" i="34"/>
  <c r="N131" i="34"/>
  <c r="N132" i="34"/>
  <c r="N133" i="34"/>
  <c r="N134" i="34"/>
  <c r="N135" i="34"/>
  <c r="N136" i="34"/>
  <c r="N137" i="34"/>
  <c r="N138" i="34"/>
  <c r="N139" i="34"/>
  <c r="N140" i="34"/>
  <c r="N141" i="34"/>
  <c r="N142" i="34"/>
  <c r="N143" i="34"/>
  <c r="O131" i="34"/>
  <c r="O132" i="34"/>
  <c r="O133" i="34"/>
  <c r="O134" i="34"/>
  <c r="O135" i="34"/>
  <c r="O136" i="34"/>
  <c r="O137" i="34"/>
  <c r="O138" i="34"/>
  <c r="O139" i="34"/>
  <c r="O140" i="34"/>
  <c r="O141" i="34"/>
  <c r="O142" i="34"/>
  <c r="O143" i="34"/>
  <c r="M108" i="34"/>
  <c r="M109" i="34"/>
  <c r="M110" i="34"/>
  <c r="M111" i="34"/>
  <c r="M112" i="34"/>
  <c r="M113" i="34"/>
  <c r="M114" i="34"/>
  <c r="M115" i="34"/>
  <c r="M116" i="34"/>
  <c r="M117" i="34"/>
  <c r="M118" i="34"/>
  <c r="M119" i="34"/>
  <c r="M120" i="34"/>
  <c r="N108" i="34"/>
  <c r="N109" i="34"/>
  <c r="N110" i="34"/>
  <c r="N111" i="34"/>
  <c r="N112" i="34"/>
  <c r="N113" i="34"/>
  <c r="N114" i="34"/>
  <c r="N115" i="34"/>
  <c r="N116" i="34"/>
  <c r="N117" i="34"/>
  <c r="N118" i="34"/>
  <c r="N119" i="34"/>
  <c r="N120" i="34"/>
  <c r="O108" i="34"/>
  <c r="O109" i="34"/>
  <c r="O110" i="34"/>
  <c r="O111" i="34"/>
  <c r="O112" i="34"/>
  <c r="O113" i="34"/>
  <c r="O114" i="34"/>
  <c r="O115" i="34"/>
  <c r="O116" i="34"/>
  <c r="O117" i="34"/>
  <c r="O118" i="34"/>
  <c r="O119" i="34"/>
  <c r="O120" i="34"/>
  <c r="M90" i="34"/>
  <c r="M91" i="34"/>
  <c r="M92" i="34"/>
  <c r="M93" i="34"/>
  <c r="M94" i="34"/>
  <c r="M95" i="34"/>
  <c r="M96" i="34"/>
  <c r="M97" i="34"/>
  <c r="M98" i="34"/>
  <c r="M99" i="34"/>
  <c r="M100" i="34"/>
  <c r="M101" i="34"/>
  <c r="M102" i="34"/>
  <c r="N90" i="34"/>
  <c r="N91" i="34"/>
  <c r="N92" i="34"/>
  <c r="N93" i="34"/>
  <c r="N94" i="34"/>
  <c r="N95" i="34"/>
  <c r="N96" i="34"/>
  <c r="N97" i="34"/>
  <c r="N98" i="34"/>
  <c r="N99" i="34"/>
  <c r="N100" i="34"/>
  <c r="N101" i="34"/>
  <c r="N102" i="34"/>
  <c r="O90" i="34"/>
  <c r="O91" i="34"/>
  <c r="O92" i="34"/>
  <c r="O93" i="34"/>
  <c r="O94" i="34"/>
  <c r="O95" i="34"/>
  <c r="O96" i="34"/>
  <c r="O97" i="34"/>
  <c r="O98" i="34"/>
  <c r="O99" i="34"/>
  <c r="O100" i="34"/>
  <c r="O101" i="34"/>
  <c r="O102" i="34"/>
  <c r="M67" i="34"/>
  <c r="M68" i="34"/>
  <c r="M69" i="34"/>
  <c r="M70" i="34"/>
  <c r="M71" i="34"/>
  <c r="M72" i="34"/>
  <c r="M73" i="34"/>
  <c r="M74" i="34"/>
  <c r="M75" i="34"/>
  <c r="M76" i="34"/>
  <c r="M77" i="34"/>
  <c r="M78" i="34"/>
  <c r="M79" i="34"/>
  <c r="N67" i="34"/>
  <c r="N68" i="34"/>
  <c r="N69" i="34"/>
  <c r="N70" i="34"/>
  <c r="N71" i="34"/>
  <c r="N72" i="34"/>
  <c r="N73" i="34"/>
  <c r="N74" i="34"/>
  <c r="N75" i="34"/>
  <c r="N76" i="34"/>
  <c r="N77" i="34"/>
  <c r="N78" i="34"/>
  <c r="N79" i="34"/>
  <c r="O67" i="34"/>
  <c r="O68" i="34"/>
  <c r="O69" i="34"/>
  <c r="O70" i="34"/>
  <c r="O71" i="34"/>
  <c r="O72" i="34"/>
  <c r="O73" i="34"/>
  <c r="O74" i="34"/>
  <c r="O75" i="34"/>
  <c r="O76" i="34"/>
  <c r="O77" i="34"/>
  <c r="O78" i="34"/>
  <c r="O79" i="34"/>
  <c r="M47" i="34"/>
  <c r="M48" i="34"/>
  <c r="M49" i="34"/>
  <c r="M50" i="34"/>
  <c r="M51" i="34"/>
  <c r="M52" i="34"/>
  <c r="M53" i="34"/>
  <c r="M54" i="34"/>
  <c r="M55" i="34"/>
  <c r="M56" i="34"/>
  <c r="M57" i="34"/>
  <c r="M58" i="34"/>
  <c r="M59" i="34"/>
  <c r="N47" i="34"/>
  <c r="N48" i="34"/>
  <c r="N49" i="34"/>
  <c r="N50" i="34"/>
  <c r="N51" i="34"/>
  <c r="N52" i="34"/>
  <c r="N53" i="34"/>
  <c r="N54" i="34"/>
  <c r="N55" i="34"/>
  <c r="N56" i="34"/>
  <c r="N57" i="34"/>
  <c r="N58" i="34"/>
  <c r="N59" i="34"/>
  <c r="O47" i="34"/>
  <c r="O48" i="34"/>
  <c r="O49" i="34"/>
  <c r="O50" i="34"/>
  <c r="O51" i="34"/>
  <c r="O52" i="34"/>
  <c r="O53" i="34"/>
  <c r="O54" i="34"/>
  <c r="O55" i="34"/>
  <c r="O56" i="34"/>
  <c r="O57" i="34"/>
  <c r="O58" i="34"/>
  <c r="O59" i="34"/>
  <c r="M25" i="34"/>
  <c r="M26" i="34"/>
  <c r="M27" i="34"/>
  <c r="M28" i="34"/>
  <c r="M29" i="34"/>
  <c r="M30" i="34"/>
  <c r="M31" i="34"/>
  <c r="M32" i="34"/>
  <c r="M33" i="34"/>
  <c r="M34" i="34"/>
  <c r="M35" i="34"/>
  <c r="M36" i="34"/>
  <c r="M37" i="34"/>
  <c r="N25" i="34"/>
  <c r="N26" i="34"/>
  <c r="N27" i="34"/>
  <c r="N28" i="34"/>
  <c r="N29" i="34"/>
  <c r="N30" i="34"/>
  <c r="N31" i="34"/>
  <c r="N32" i="34"/>
  <c r="N33" i="34"/>
  <c r="N34" i="34"/>
  <c r="N35" i="34"/>
  <c r="N36" i="34"/>
  <c r="N37" i="34"/>
  <c r="O25" i="34"/>
  <c r="O26" i="34"/>
  <c r="O27" i="34"/>
  <c r="O28" i="34"/>
  <c r="O29" i="34"/>
  <c r="O30" i="34"/>
  <c r="O31" i="34"/>
  <c r="O32" i="34"/>
  <c r="O33" i="34"/>
  <c r="O34" i="34"/>
  <c r="O35" i="34"/>
  <c r="O36" i="34"/>
  <c r="O37" i="34"/>
  <c r="M8" i="34"/>
  <c r="M9" i="34"/>
  <c r="M10" i="34"/>
  <c r="M11" i="34"/>
  <c r="M12" i="34"/>
  <c r="M13" i="34"/>
  <c r="M14" i="34"/>
  <c r="M15" i="34"/>
  <c r="M16" i="34"/>
  <c r="M17" i="34"/>
  <c r="M18" i="34"/>
  <c r="M19" i="34"/>
  <c r="N8" i="34"/>
  <c r="N9" i="34"/>
  <c r="N10" i="34"/>
  <c r="N11" i="34"/>
  <c r="N12" i="34"/>
  <c r="N13" i="34"/>
  <c r="N14" i="34"/>
  <c r="N15" i="34"/>
  <c r="N16" i="34"/>
  <c r="N17" i="34"/>
  <c r="N18" i="34"/>
  <c r="N19" i="34"/>
  <c r="O8" i="34"/>
  <c r="O9" i="34"/>
  <c r="O10" i="34"/>
  <c r="O11" i="34"/>
  <c r="O12" i="34"/>
  <c r="O13" i="34"/>
  <c r="O14" i="34"/>
  <c r="O15" i="34"/>
  <c r="O16" i="34"/>
  <c r="O17" i="34"/>
  <c r="O18" i="34"/>
  <c r="O19" i="34"/>
  <c r="B2" i="34" l="1"/>
  <c r="A2" i="34" s="1"/>
  <c r="L492" i="34" l="1"/>
  <c r="L493" i="34"/>
  <c r="L264" i="34"/>
  <c r="L268" i="34"/>
  <c r="L272" i="34"/>
  <c r="L276" i="34"/>
  <c r="L280" i="34"/>
  <c r="L284" i="34"/>
  <c r="L288" i="34"/>
  <c r="L292" i="34"/>
  <c r="L296" i="34"/>
  <c r="L300" i="34"/>
  <c r="L301" i="34"/>
  <c r="L305" i="34"/>
  <c r="L309" i="34"/>
  <c r="L313" i="34"/>
  <c r="L317" i="34"/>
  <c r="L319" i="34"/>
  <c r="L323" i="34"/>
  <c r="L327" i="34"/>
  <c r="L331" i="34"/>
  <c r="L335" i="34"/>
  <c r="L339" i="34"/>
  <c r="L343" i="34"/>
  <c r="L347" i="34"/>
  <c r="L351" i="34"/>
  <c r="L355" i="34"/>
  <c r="L359" i="34"/>
  <c r="L363" i="34"/>
  <c r="L367" i="34"/>
  <c r="L371" i="34"/>
  <c r="L375" i="34"/>
  <c r="L376" i="34"/>
  <c r="L380" i="34"/>
  <c r="L384" i="34"/>
  <c r="L388" i="34"/>
  <c r="L392" i="34"/>
  <c r="L398" i="34"/>
  <c r="L402" i="34"/>
  <c r="L406" i="34"/>
  <c r="L410" i="34"/>
  <c r="L414" i="34"/>
  <c r="L418" i="34"/>
  <c r="L422" i="34"/>
  <c r="L426" i="34"/>
  <c r="L430" i="34"/>
  <c r="L432" i="34"/>
  <c r="L436" i="34"/>
  <c r="L440" i="34"/>
  <c r="L444" i="34"/>
  <c r="L448" i="34"/>
  <c r="L452" i="34"/>
  <c r="L456" i="34"/>
  <c r="L460" i="34"/>
  <c r="L464" i="34"/>
  <c r="L468" i="34"/>
  <c r="L472" i="34"/>
  <c r="L476" i="34"/>
  <c r="L480" i="34"/>
  <c r="L484" i="34"/>
  <c r="L488" i="34"/>
  <c r="L265" i="34"/>
  <c r="L269" i="34"/>
  <c r="L273" i="34"/>
  <c r="L277" i="34"/>
  <c r="L281" i="34"/>
  <c r="L285" i="34"/>
  <c r="L289" i="34"/>
  <c r="L293" i="34"/>
  <c r="L297" i="34"/>
  <c r="L302" i="34"/>
  <c r="L306" i="34"/>
  <c r="L310" i="34"/>
  <c r="L314" i="34"/>
  <c r="L318" i="34"/>
  <c r="L320" i="34"/>
  <c r="L324" i="34"/>
  <c r="L328" i="34"/>
  <c r="L332" i="34"/>
  <c r="L336" i="34"/>
  <c r="L340" i="34"/>
  <c r="L344" i="34"/>
  <c r="L348" i="34"/>
  <c r="L352" i="34"/>
  <c r="L356" i="34"/>
  <c r="L360" i="34"/>
  <c r="L364" i="34"/>
  <c r="L368" i="34"/>
  <c r="L372" i="34"/>
  <c r="L377" i="34"/>
  <c r="L381" i="34"/>
  <c r="L385" i="34"/>
  <c r="L389" i="34"/>
  <c r="L393" i="34"/>
  <c r="L395" i="34"/>
  <c r="L399" i="34"/>
  <c r="L403" i="34"/>
  <c r="L407" i="34"/>
  <c r="L411" i="34"/>
  <c r="L415" i="34"/>
  <c r="L419" i="34"/>
  <c r="L423" i="34"/>
  <c r="L427" i="34"/>
  <c r="L431" i="34"/>
  <c r="L433" i="34"/>
  <c r="L437" i="34"/>
  <c r="L441" i="34"/>
  <c r="L445" i="34"/>
  <c r="L449" i="34"/>
  <c r="L453" i="34"/>
  <c r="L457" i="34"/>
  <c r="L461" i="34"/>
  <c r="L465" i="34"/>
  <c r="L469" i="34"/>
  <c r="L473" i="34"/>
  <c r="L477" i="34"/>
  <c r="L481" i="34"/>
  <c r="L485" i="34"/>
  <c r="L489" i="34"/>
  <c r="L266" i="34"/>
  <c r="L274" i="34"/>
  <c r="L282" i="34"/>
  <c r="L290" i="34"/>
  <c r="L298" i="34"/>
  <c r="L303" i="34"/>
  <c r="L311" i="34"/>
  <c r="L325" i="34"/>
  <c r="L333" i="34"/>
  <c r="L345" i="34"/>
  <c r="L353" i="34"/>
  <c r="L361" i="34"/>
  <c r="L369" i="34"/>
  <c r="L382" i="34"/>
  <c r="L390" i="34"/>
  <c r="L396" i="34"/>
  <c r="L404" i="34"/>
  <c r="L412" i="34"/>
  <c r="L420" i="34"/>
  <c r="L428" i="34"/>
  <c r="L434" i="34"/>
  <c r="L442" i="34"/>
  <c r="L450" i="34"/>
  <c r="L454" i="34"/>
  <c r="L462" i="34"/>
  <c r="L470" i="34"/>
  <c r="L474" i="34"/>
  <c r="L482" i="34"/>
  <c r="L490" i="34"/>
  <c r="L267" i="34"/>
  <c r="L275" i="34"/>
  <c r="L283" i="34"/>
  <c r="L291" i="34"/>
  <c r="L299" i="34"/>
  <c r="L304" i="34"/>
  <c r="L312" i="34"/>
  <c r="L326" i="34"/>
  <c r="L334" i="34"/>
  <c r="L338" i="34"/>
  <c r="L346" i="34"/>
  <c r="L354" i="34"/>
  <c r="L362" i="34"/>
  <c r="L370" i="34"/>
  <c r="L383" i="34"/>
  <c r="L391" i="34"/>
  <c r="L397" i="34"/>
  <c r="L405" i="34"/>
  <c r="L413" i="34"/>
  <c r="L421" i="34"/>
  <c r="L429" i="34"/>
  <c r="L435" i="34"/>
  <c r="L443" i="34"/>
  <c r="L451" i="34"/>
  <c r="L455" i="34"/>
  <c r="L463" i="34"/>
  <c r="L475" i="34"/>
  <c r="L483" i="34"/>
  <c r="L491" i="34"/>
  <c r="L270" i="34"/>
  <c r="L286" i="34"/>
  <c r="L315" i="34"/>
  <c r="L329" i="34"/>
  <c r="L341" i="34"/>
  <c r="L357" i="34"/>
  <c r="L373" i="34"/>
  <c r="L386" i="34"/>
  <c r="L400" i="34"/>
  <c r="L416" i="34"/>
  <c r="L446" i="34"/>
  <c r="L458" i="34"/>
  <c r="L486" i="34"/>
  <c r="L271" i="34"/>
  <c r="L287" i="34"/>
  <c r="L316" i="34"/>
  <c r="L330" i="34"/>
  <c r="L342" i="34"/>
  <c r="L358" i="34"/>
  <c r="L374" i="34"/>
  <c r="L387" i="34"/>
  <c r="L401" i="34"/>
  <c r="L417" i="34"/>
  <c r="L447" i="34"/>
  <c r="L459" i="34"/>
  <c r="L471" i="34"/>
  <c r="L487" i="34"/>
  <c r="L278" i="34"/>
  <c r="L294" i="34"/>
  <c r="L307" i="34"/>
  <c r="L321" i="34"/>
  <c r="L337" i="34"/>
  <c r="L349" i="34"/>
  <c r="L365" i="34"/>
  <c r="L378" i="34"/>
  <c r="L394" i="34"/>
  <c r="L408" i="34"/>
  <c r="L424" i="34"/>
  <c r="L438" i="34"/>
  <c r="L466" i="34"/>
  <c r="L478" i="34"/>
  <c r="L279" i="34"/>
  <c r="L295" i="34"/>
  <c r="L308" i="34"/>
  <c r="L322" i="34"/>
  <c r="L350" i="34"/>
  <c r="L366" i="34"/>
  <c r="L379" i="34"/>
  <c r="L409" i="34"/>
  <c r="L425" i="34"/>
  <c r="L439" i="34"/>
  <c r="L467" i="34"/>
  <c r="L479" i="34"/>
  <c r="L7" i="34"/>
  <c r="L11" i="34"/>
  <c r="L15" i="34"/>
  <c r="L19" i="34"/>
  <c r="L28" i="34"/>
  <c r="L32" i="34"/>
  <c r="L36" i="34"/>
  <c r="L49" i="34"/>
  <c r="L53" i="34"/>
  <c r="L57" i="34"/>
  <c r="L68" i="34"/>
  <c r="L72" i="34"/>
  <c r="L76" i="34"/>
  <c r="L90" i="34"/>
  <c r="L94" i="34"/>
  <c r="L98" i="34"/>
  <c r="L102" i="34"/>
  <c r="L111" i="34"/>
  <c r="L115" i="34"/>
  <c r="L119" i="34"/>
  <c r="L133" i="34"/>
  <c r="L137" i="34"/>
  <c r="L141" i="34"/>
  <c r="L153" i="34"/>
  <c r="L157" i="34"/>
  <c r="L161" i="34"/>
  <c r="L171" i="34"/>
  <c r="L175" i="34"/>
  <c r="L179" i="34"/>
  <c r="L183" i="34"/>
  <c r="L194" i="34"/>
  <c r="L198" i="34"/>
  <c r="L202" i="34"/>
  <c r="L217" i="34"/>
  <c r="L221" i="34"/>
  <c r="L225" i="34"/>
  <c r="L239" i="34"/>
  <c r="L243" i="34"/>
  <c r="L247" i="34"/>
  <c r="L20" i="34"/>
  <c r="L103" i="34"/>
  <c r="L184" i="34"/>
  <c r="L21" i="34"/>
  <c r="L104" i="34"/>
  <c r="L185" i="34"/>
  <c r="L40" i="34"/>
  <c r="L206" i="34"/>
  <c r="L83" i="34"/>
  <c r="L168" i="34"/>
  <c r="L253" i="34"/>
  <c r="L124" i="34"/>
  <c r="L63" i="34"/>
  <c r="L148" i="34"/>
  <c r="L232" i="34"/>
  <c r="L64" i="34"/>
  <c r="L149" i="34"/>
  <c r="L233" i="34"/>
  <c r="L44" i="34"/>
  <c r="L46" i="34"/>
  <c r="L88" i="34"/>
  <c r="L150" i="34"/>
  <c r="L211" i="34"/>
  <c r="L260" i="34"/>
  <c r="L261" i="34"/>
  <c r="L263" i="34"/>
  <c r="L13" i="34"/>
  <c r="L17" i="34"/>
  <c r="L26" i="34"/>
  <c r="L34" i="34"/>
  <c r="L51" i="34"/>
  <c r="L59" i="34"/>
  <c r="L74" i="34"/>
  <c r="L92" i="34"/>
  <c r="L100" i="34"/>
  <c r="L113" i="34"/>
  <c r="L131" i="34"/>
  <c r="L135" i="34"/>
  <c r="L143" i="34"/>
  <c r="L159" i="34"/>
  <c r="L173" i="34"/>
  <c r="L181" i="34"/>
  <c r="L200" i="34"/>
  <c r="L219" i="34"/>
  <c r="L227" i="34"/>
  <c r="L245" i="34"/>
  <c r="L8" i="34"/>
  <c r="L12" i="34"/>
  <c r="L16" i="34"/>
  <c r="L25" i="34"/>
  <c r="L29" i="34"/>
  <c r="L33" i="34"/>
  <c r="L37" i="34"/>
  <c r="L50" i="34"/>
  <c r="L54" i="34"/>
  <c r="L58" i="34"/>
  <c r="L69" i="34"/>
  <c r="L73" i="34"/>
  <c r="L77" i="34"/>
  <c r="L91" i="34"/>
  <c r="L95" i="34"/>
  <c r="L99" i="34"/>
  <c r="L108" i="34"/>
  <c r="L112" i="34"/>
  <c r="L116" i="34"/>
  <c r="L120" i="34"/>
  <c r="L134" i="34"/>
  <c r="L138" i="34"/>
  <c r="L142" i="34"/>
  <c r="L154" i="34"/>
  <c r="L158" i="34"/>
  <c r="L162" i="34"/>
  <c r="L172" i="34"/>
  <c r="L176" i="34"/>
  <c r="L180" i="34"/>
  <c r="L191" i="34"/>
  <c r="L195" i="34"/>
  <c r="L199" i="34"/>
  <c r="L203" i="34"/>
  <c r="L218" i="34"/>
  <c r="L222" i="34"/>
  <c r="L226" i="34"/>
  <c r="L240" i="34"/>
  <c r="L244" i="34"/>
  <c r="L248" i="34"/>
  <c r="L38" i="34"/>
  <c r="L121" i="34"/>
  <c r="L204" i="34"/>
  <c r="L39" i="34"/>
  <c r="L122" i="34"/>
  <c r="L205" i="34"/>
  <c r="L167" i="34"/>
  <c r="L22" i="34"/>
  <c r="L105" i="34"/>
  <c r="L186" i="34"/>
  <c r="L147" i="34"/>
  <c r="L255" i="34"/>
  <c r="L84" i="34"/>
  <c r="L169" i="34"/>
  <c r="L256" i="34"/>
  <c r="L85" i="34"/>
  <c r="L170" i="34"/>
  <c r="L257" i="34"/>
  <c r="L86" i="34"/>
  <c r="L66" i="34"/>
  <c r="L129" i="34"/>
  <c r="L151" i="34"/>
  <c r="L234" i="34"/>
  <c r="L213" i="34"/>
  <c r="L236" i="34"/>
  <c r="L9" i="34"/>
  <c r="L30" i="34"/>
  <c r="L47" i="34"/>
  <c r="L55" i="34"/>
  <c r="L70" i="34"/>
  <c r="L78" i="34"/>
  <c r="L96" i="34"/>
  <c r="L109" i="34"/>
  <c r="L117" i="34"/>
  <c r="L139" i="34"/>
  <c r="L155" i="34"/>
  <c r="L163" i="34"/>
  <c r="L177" i="34"/>
  <c r="L192" i="34"/>
  <c r="L196" i="34"/>
  <c r="L215" i="34"/>
  <c r="L223" i="34"/>
  <c r="L241" i="34"/>
  <c r="L249" i="34"/>
  <c r="L144" i="34"/>
  <c r="L10" i="34"/>
  <c r="L31" i="34"/>
  <c r="L56" i="34"/>
  <c r="L79" i="34"/>
  <c r="L110" i="34"/>
  <c r="L136" i="34"/>
  <c r="L160" i="34"/>
  <c r="L182" i="34"/>
  <c r="L216" i="34"/>
  <c r="L242" i="34"/>
  <c r="L80" i="34"/>
  <c r="L61" i="34"/>
  <c r="L229" i="34"/>
  <c r="L41" i="34"/>
  <c r="L207" i="34"/>
  <c r="L23" i="34"/>
  <c r="L187" i="34"/>
  <c r="L107" i="34"/>
  <c r="L127" i="34"/>
  <c r="L87" i="34"/>
  <c r="L189" i="34"/>
  <c r="L235" i="34"/>
  <c r="L14" i="34"/>
  <c r="L35" i="34"/>
  <c r="L67" i="34"/>
  <c r="L93" i="34"/>
  <c r="L114" i="34"/>
  <c r="L140" i="34"/>
  <c r="L164" i="34"/>
  <c r="L193" i="34"/>
  <c r="L220" i="34"/>
  <c r="L246" i="34"/>
  <c r="L165" i="34"/>
  <c r="L81" i="34"/>
  <c r="L252" i="34"/>
  <c r="L62" i="34"/>
  <c r="L231" i="34"/>
  <c r="L42" i="34"/>
  <c r="L209" i="34"/>
  <c r="L126" i="34"/>
  <c r="L258" i="34"/>
  <c r="L128" i="34"/>
  <c r="L190" i="34"/>
  <c r="L214" i="34"/>
  <c r="L18" i="34"/>
  <c r="L48" i="34"/>
  <c r="L71" i="34"/>
  <c r="L97" i="34"/>
  <c r="L118" i="34"/>
  <c r="L152" i="34"/>
  <c r="L174" i="34"/>
  <c r="L197" i="34"/>
  <c r="L224" i="34"/>
  <c r="L250" i="34"/>
  <c r="L228" i="34"/>
  <c r="L145" i="34"/>
  <c r="L230" i="34"/>
  <c r="L123" i="34"/>
  <c r="L208" i="34"/>
  <c r="L106" i="34"/>
  <c r="L24" i="34"/>
  <c r="L188" i="34"/>
  <c r="L45" i="34"/>
  <c r="L89" i="34"/>
  <c r="L259" i="34"/>
  <c r="L262" i="34"/>
  <c r="L27" i="34"/>
  <c r="L52" i="34"/>
  <c r="L75" i="34"/>
  <c r="L101" i="34"/>
  <c r="L132" i="34"/>
  <c r="L156" i="34"/>
  <c r="L178" i="34"/>
  <c r="L201" i="34"/>
  <c r="L238" i="34"/>
  <c r="L60" i="34"/>
  <c r="L251" i="34"/>
  <c r="L166" i="34"/>
  <c r="L82" i="34"/>
  <c r="L146" i="34"/>
  <c r="L254" i="34"/>
  <c r="L125" i="34"/>
  <c r="L43" i="34"/>
  <c r="L210" i="34"/>
  <c r="L65" i="34"/>
  <c r="L130" i="34"/>
  <c r="L237" i="34"/>
  <c r="L212" i="34"/>
  <c r="O7" i="34"/>
  <c r="N7" i="34"/>
  <c r="M7" i="34"/>
  <c r="C22" i="33" l="1"/>
  <c r="E22" i="33"/>
  <c r="D8" i="33"/>
  <c r="D21" i="33"/>
  <c r="D20" i="33"/>
  <c r="D19" i="33"/>
  <c r="D18" i="33"/>
  <c r="D17" i="33"/>
  <c r="D16" i="33"/>
  <c r="D15" i="33"/>
  <c r="D14" i="33"/>
  <c r="D13" i="33"/>
  <c r="D12" i="33"/>
  <c r="D11" i="33"/>
  <c r="D10" i="33"/>
  <c r="D7" i="33"/>
  <c r="D9" i="33"/>
</calcChain>
</file>

<file path=xl/sharedStrings.xml><?xml version="1.0" encoding="utf-8"?>
<sst xmlns="http://schemas.openxmlformats.org/spreadsheetml/2006/main" count="1575" uniqueCount="108">
  <si>
    <t>توفير</t>
  </si>
  <si>
    <t>هدايا</t>
  </si>
  <si>
    <t>Total</t>
  </si>
  <si>
    <t>مدارس</t>
  </si>
  <si>
    <t>طوارئ</t>
  </si>
  <si>
    <t>ملاحظات</t>
  </si>
  <si>
    <t>الصندوق</t>
  </si>
  <si>
    <t>القيمة الشهرية</t>
  </si>
  <si>
    <t>القيمة السنوية</t>
  </si>
  <si>
    <t>دورات</t>
  </si>
  <si>
    <t>صيانة السيارة</t>
  </si>
  <si>
    <t>فواتير</t>
  </si>
  <si>
    <t>اجازات</t>
  </si>
  <si>
    <t>مصاريف شهرية</t>
  </si>
  <si>
    <t>صرف</t>
  </si>
  <si>
    <t>ملابس</t>
  </si>
  <si>
    <t>دخل</t>
  </si>
  <si>
    <t>خارجي</t>
  </si>
  <si>
    <t>الراتب</t>
  </si>
  <si>
    <t>نوعه</t>
  </si>
  <si>
    <t>الشركة</t>
  </si>
  <si>
    <t>ايجار المنزل</t>
  </si>
  <si>
    <t>زكاة</t>
  </si>
  <si>
    <t>احسب حساب التامين السنوي و الترخيص</t>
  </si>
  <si>
    <t>إعدادات الصناديق</t>
  </si>
  <si>
    <t>مدفوع من شهر</t>
  </si>
  <si>
    <t>تاريخ الحركة</t>
  </si>
  <si>
    <t>من صندوق</t>
  </si>
  <si>
    <t>رصيد (من صندوق)</t>
  </si>
  <si>
    <t>إلى صندوق</t>
  </si>
  <si>
    <t>رصيد (إلى  صندوق)</t>
  </si>
  <si>
    <t>القيمة المقترحة</t>
  </si>
  <si>
    <t>القيمة / خطة</t>
  </si>
  <si>
    <t>القيمة الفعلية</t>
  </si>
  <si>
    <t>وصف الحركة</t>
  </si>
  <si>
    <t>الحالة</t>
  </si>
  <si>
    <t>فعالة؟</t>
  </si>
  <si>
    <t>من/إلى</t>
  </si>
  <si>
    <t>نوعه (من)</t>
  </si>
  <si>
    <t>نوعه (إلى)</t>
  </si>
  <si>
    <t>إيداع راتب</t>
  </si>
  <si>
    <t>التاريخ ا لحال</t>
  </si>
  <si>
    <t>التاريخ الفعال</t>
  </si>
  <si>
    <t>ضع تاريخ فعال يدوي</t>
  </si>
  <si>
    <t>الاشهر</t>
  </si>
  <si>
    <t>تم</t>
  </si>
  <si>
    <t>محجوز</t>
  </si>
  <si>
    <t>اقتطاع فواتير</t>
  </si>
  <si>
    <t>اقتطاع مصاريف شهرية</t>
  </si>
  <si>
    <t>اقتطاع مدارس</t>
  </si>
  <si>
    <t>اقتطاع ايجار المنزل</t>
  </si>
  <si>
    <t>اقتطاع توفير</t>
  </si>
  <si>
    <t>اقتطاع اجازات</t>
  </si>
  <si>
    <t>اقتطاع دورات</t>
  </si>
  <si>
    <t>اقتطاع زكاة</t>
  </si>
  <si>
    <t>اقتطاع صيانة السيارة</t>
  </si>
  <si>
    <t>اقتطاع ملابس</t>
  </si>
  <si>
    <t>اقتطاع هدايا</t>
  </si>
  <si>
    <t>اقتطاع طوارئ</t>
  </si>
  <si>
    <t>دفع الفواتير</t>
  </si>
  <si>
    <t>دفع مصاريف شهرية</t>
  </si>
  <si>
    <t>اخر قسط من سنة 2017/2018</t>
  </si>
  <si>
    <t>القسط الاول من سنة 2018/2019</t>
  </si>
  <si>
    <t>القسط الثاني من سنة 2018/2019</t>
  </si>
  <si>
    <t>دفع قسط اول ايجار المنزل</t>
  </si>
  <si>
    <t>دفع قسط ثاني ايجار المنزل</t>
  </si>
  <si>
    <t>تحويل للاستثمار</t>
  </si>
  <si>
    <t>مصاريف الاجازة</t>
  </si>
  <si>
    <t>دفع تكاليف دورة</t>
  </si>
  <si>
    <t>دفع الزكاة</t>
  </si>
  <si>
    <t>دفع صيانة سيارة</t>
  </si>
  <si>
    <t>شراء ملابس</t>
  </si>
  <si>
    <t>شراء هدايا</t>
  </si>
  <si>
    <t>دفع طوارئ</t>
  </si>
  <si>
    <t>المدخلات حسب الخطة</t>
  </si>
  <si>
    <t>المدخلات الفعلية</t>
  </si>
  <si>
    <t>وضع الصناديق</t>
  </si>
  <si>
    <t>شهر:</t>
  </si>
  <si>
    <t>نسبة المدخلات الفعلية من الخطة</t>
  </si>
  <si>
    <t>المصروفات حسب الخطة</t>
  </si>
  <si>
    <t>المصروفات الفعلية</t>
  </si>
  <si>
    <t>نسبة المصروفات الفعلية من الخطة</t>
  </si>
  <si>
    <t>الرصيد حسب الخطة</t>
  </si>
  <si>
    <t>الرصيد الفعلي</t>
  </si>
  <si>
    <t>حتى</t>
  </si>
  <si>
    <t>مجموع الدخل الفعلي</t>
  </si>
  <si>
    <t>مجموع الصرف الفعلي</t>
  </si>
  <si>
    <t>رصيد صفر؟</t>
  </si>
  <si>
    <t>تغطية عجز صندوق المدارس</t>
  </si>
  <si>
    <t>سداد</t>
  </si>
  <si>
    <t>تغطية عجز ايجار المنزل</t>
  </si>
  <si>
    <t>تغطية عجز الاجازات</t>
  </si>
  <si>
    <t>تغطية عجز صندوق الدورات</t>
  </si>
  <si>
    <t>إبدأ من شهر:</t>
  </si>
  <si>
    <t>1</t>
  </si>
  <si>
    <t>2</t>
  </si>
  <si>
    <t>201905</t>
  </si>
  <si>
    <t>3</t>
  </si>
  <si>
    <t>4</t>
  </si>
  <si>
    <t>5</t>
  </si>
  <si>
    <t>6</t>
  </si>
  <si>
    <t>7</t>
  </si>
  <si>
    <t>8</t>
  </si>
  <si>
    <t>9</t>
  </si>
  <si>
    <t>10</t>
  </si>
  <si>
    <t>11</t>
  </si>
  <si>
    <t>12</t>
  </si>
  <si>
    <t>تقرير الارصدة الفعلية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</si>
</sst>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F800]dddd\,\ mmmm\ dd\,\ yyyy"/>
    <numFmt numFmtId="165" formatCode="_(* #,##0_);_(* \(#,##0\);_(* &quot;-&quot;??_);_(@_)"/>
  </numFmts>
  <fonts count="16" x14ac:knownFonts="1">
    <font>
      <sz val="11"/>
      <color theme="1"/>
      <name val="Calibri"/>
      <family val="2"/>
      <scheme val="minor"/>
    </font>
    <font>
      <sz val="28"/>
      <color theme="0"/>
      <name val="Calibri"/>
      <family val="2"/>
      <scheme val="minor"/>
    </font>
    <font>
      <sz val="11"/>
      <color theme="0"/>
      <name val="Calibri"/>
      <family val="2"/>
      <scheme val="minor"/>
    </font>
    <font>
      <sz val="11"/>
      <color theme="0"/>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b/>
      <sz val="16"/>
      <color theme="1"/>
      <name val="Calibri"/>
      <family val="2"/>
      <scheme val="minor"/>
    </font>
    <font>
      <sz val="11"/>
      <color theme="0"/>
      <name val="Calibri"/>
      <family val="2"/>
      <scheme val="minor"/>
    </font>
    <font>
      <sz val="11"/>
      <color theme="0"/>
      <name val="Calibri"/>
      <family val="2"/>
      <scheme val="minor"/>
    </font>
    <font>
      <sz val="11"/>
      <color theme="0"/>
      <name val="Calibri"/>
      <family val="2"/>
      <scheme val="minor"/>
    </font>
    <font>
      <sz val="11"/>
      <color theme="0"/>
      <name val="Calibri"/>
      <family val="2"/>
      <scheme val="minor"/>
    </font>
    <font>
      <b/>
      <sz val="11"/>
      <color theme="0"/>
      <name val="Calibri"/>
      <family val="2"/>
      <scheme val="minor"/>
    </font>
    <font>
      <b/>
      <sz val="16"/>
      <color rgb="FFFF0000"/>
      <name val="Calibri"/>
      <family val="2"/>
      <scheme val="minor"/>
    </font>
    <font>
      <sz val="11"/>
      <color rgb="FFC00000"/>
      <name val="Calibri"/>
      <family val="2"/>
      <scheme val="minor"/>
    </font>
    <font>
      <sz val="11"/>
      <color theme="2" tint="-0.249977111117893"/>
      <name val="Calibri"/>
      <family val="2"/>
      <scheme val="minor"/>
    </font>
  </fonts>
  <fills count="8">
    <fill>
      <patternFill patternType="none"/>
    </fill>
    <fill>
      <patternFill patternType="gray125"/>
    </fill>
    <fill>
      <patternFill patternType="solid">
        <fgColor rgb="FFC00000"/>
        <bgColor indexed="64"/>
      </patternFill>
    </fill>
    <fill>
      <patternFill patternType="solid">
        <fgColor theme="7" tint="-0.249977111117893"/>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2"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39">
    <xf numFmtId="0" fontId="0" fillId="0" borderId="0" xfId="0"/>
    <xf numFmtId="0" fontId="0" fillId="0" borderId="0" xfId="0" applyNumberFormat="1"/>
    <xf numFmtId="0" fontId="2" fillId="3" borderId="0" xfId="0" applyFont="1" applyFill="1"/>
    <xf numFmtId="164" fontId="0" fillId="0" borderId="0" xfId="0" applyNumberFormat="1"/>
    <xf numFmtId="0" fontId="2" fillId="3" borderId="0" xfId="0" applyFont="1" applyFill="1" applyAlignment="1">
      <alignment wrapText="1"/>
    </xf>
    <xf numFmtId="14" fontId="2" fillId="3" borderId="0" xfId="0" applyNumberFormat="1" applyFont="1" applyFill="1"/>
    <xf numFmtId="14" fontId="2" fillId="2" borderId="0" xfId="0" applyNumberFormat="1" applyFont="1" applyFill="1"/>
    <xf numFmtId="0" fontId="3" fillId="3" borderId="0" xfId="0" applyFont="1" applyFill="1"/>
    <xf numFmtId="0" fontId="4" fillId="3" borderId="0" xfId="0" applyFont="1" applyFill="1"/>
    <xf numFmtId="0" fontId="2" fillId="5" borderId="0" xfId="0" applyFont="1" applyFill="1"/>
    <xf numFmtId="0" fontId="2" fillId="6" borderId="0" xfId="0" applyFont="1" applyFill="1"/>
    <xf numFmtId="0" fontId="8" fillId="3" borderId="0" xfId="0" applyFont="1" applyFill="1"/>
    <xf numFmtId="0" fontId="9" fillId="3" borderId="0" xfId="0" applyFont="1" applyFill="1"/>
    <xf numFmtId="0" fontId="10" fillId="3" borderId="0" xfId="0" applyFont="1" applyFill="1"/>
    <xf numFmtId="0" fontId="11" fillId="3" borderId="0" xfId="0" applyFont="1" applyFill="1"/>
    <xf numFmtId="165" fontId="2" fillId="3" borderId="0" xfId="1" applyNumberFormat="1" applyFont="1" applyFill="1"/>
    <xf numFmtId="165" fontId="3" fillId="3" borderId="0" xfId="1" applyNumberFormat="1" applyFont="1" applyFill="1"/>
    <xf numFmtId="165" fontId="4" fillId="3" borderId="0" xfId="1" applyNumberFormat="1" applyFont="1" applyFill="1"/>
    <xf numFmtId="165" fontId="8" fillId="3" borderId="0" xfId="1" applyNumberFormat="1" applyFont="1" applyFill="1"/>
    <xf numFmtId="165" fontId="9" fillId="3" borderId="0" xfId="1" applyNumberFormat="1" applyFont="1" applyFill="1"/>
    <xf numFmtId="165" fontId="10" fillId="3" borderId="0" xfId="1" applyNumberFormat="1" applyFont="1" applyFill="1"/>
    <xf numFmtId="165" fontId="11" fillId="3" borderId="0" xfId="1" applyNumberFormat="1" applyFont="1" applyFill="1"/>
    <xf numFmtId="165" fontId="0" fillId="0" borderId="0" xfId="1" applyNumberFormat="1" applyFont="1"/>
    <xf numFmtId="9" fontId="0" fillId="0" borderId="0" xfId="2" applyFont="1" applyAlignment="1">
      <alignment horizontal="center"/>
    </xf>
    <xf numFmtId="0" fontId="12" fillId="2" borderId="1" xfId="0" applyFont="1" applyFill="1" applyBorder="1" applyAlignment="1">
      <alignment horizontal="center"/>
    </xf>
    <xf numFmtId="0" fontId="14" fillId="0" borderId="0" xfId="0" applyFont="1" applyAlignment="1">
      <alignment horizontal="center"/>
    </xf>
    <xf numFmtId="0" fontId="2" fillId="3" borderId="0" xfId="0" applyNumberFormat="1" applyFont="1" applyFill="1"/>
    <xf numFmtId="0" fontId="0" fillId="0" borderId="0" xfId="0" applyFont="1"/>
    <xf numFmtId="0" fontId="0" fillId="2" borderId="0" xfId="0" applyFill="1"/>
    <xf numFmtId="0" fontId="0" fillId="7" borderId="0" xfId="0" applyFill="1"/>
    <xf numFmtId="0" fontId="15" fillId="7" borderId="0" xfId="0" applyFont="1" applyFill="1"/>
    <xf numFmtId="0" fontId="7" fillId="7" borderId="0" xfId="0" applyFont="1" applyFill="1"/>
    <xf numFmtId="0" fontId="13" fillId="7" borderId="0" xfId="0" applyFont="1" applyFill="1"/>
    <xf numFmtId="14" fontId="0" fillId="7" borderId="0" xfId="0" applyNumberFormat="1" applyFill="1"/>
    <xf numFmtId="0" fontId="13" fillId="4" borderId="1" xfId="0" applyFont="1" applyFill="1" applyBorder="1"/>
    <xf numFmtId="0" fontId="0" fillId="0" borderId="0" xfId="0" applyFill="1"/>
    <xf numFmtId="165" fontId="6" fillId="4" borderId="1" xfId="1" applyNumberFormat="1" applyFont="1" applyFill="1" applyBorder="1"/>
    <xf numFmtId="0" fontId="7" fillId="4" borderId="1" xfId="0" applyFont="1" applyFill="1" applyBorder="1" applyAlignment="1">
      <alignment horizontal="center"/>
    </xf>
    <xf numFmtId="0" fontId="1" fillId="2" borderId="0" xfId="0" applyFont="1" applyFill="1" applyAlignment="1">
      <alignment horizontal="center" vertical="center"/>
    </xf>
  </cellXfs>
  <cellStyles count="3">
    <cellStyle name="Comma" xfId="1" builtinId="3"/>
    <cellStyle name="Normal" xfId="0" builtinId="0"/>
    <cellStyle name="Percent" xfId="2" builtinId="5"/>
  </cellStyles>
  <dxfs count="56">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3"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0" formatCode="General"/>
      <fill>
        <patternFill patternType="solid">
          <fgColor indexed="64"/>
          <bgColor rgb="FFFF0000"/>
        </patternFill>
      </fill>
    </dxf>
    <dxf>
      <font>
        <strike val="0"/>
        <outline val="0"/>
        <shadow val="0"/>
        <u val="none"/>
        <vertAlign val="baseline"/>
        <sz val="11"/>
        <color theme="0"/>
        <name val="Calibri"/>
        <scheme val="minor"/>
      </font>
      <numFmt numFmtId="0" formatCode="General"/>
      <fill>
        <patternFill patternType="solid">
          <fgColor indexed="64"/>
          <bgColor rgb="FFFF0000"/>
        </patternFill>
      </fill>
    </dxf>
    <dxf>
      <numFmt numFmtId="13"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0" formatCode="General"/>
      <fill>
        <patternFill patternType="solid">
          <fgColor indexed="64"/>
          <bgColor rgb="FF00B050"/>
        </patternFill>
      </fill>
    </dxf>
    <dxf>
      <font>
        <strike val="0"/>
        <outline val="0"/>
        <shadow val="0"/>
        <u val="none"/>
        <vertAlign val="baseline"/>
        <sz val="11"/>
        <color theme="0"/>
        <name val="Calibri"/>
        <scheme val="minor"/>
      </font>
      <numFmt numFmtId="0" formatCode="General"/>
      <fill>
        <patternFill patternType="solid">
          <fgColor indexed="64"/>
          <bgColor rgb="FF00B050"/>
        </patternFill>
      </fill>
    </dxf>
    <dxf>
      <font>
        <color theme="0"/>
      </font>
      <fill>
        <patternFill>
          <bgColor rgb="FF00B050"/>
        </patternFill>
      </fill>
    </dxf>
    <dxf>
      <font>
        <color theme="0"/>
      </font>
      <fill>
        <patternFill>
          <bgColor rgb="FFFF0000"/>
        </patternFill>
      </fill>
    </dxf>
    <dxf>
      <font>
        <color auto="1"/>
      </font>
      <fill>
        <patternFill>
          <bgColor theme="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0"/>
      </font>
      <fill>
        <patternFill>
          <bgColor rgb="FF00B050"/>
        </patternFill>
      </fill>
    </dxf>
    <dxf>
      <font>
        <color theme="0"/>
      </font>
      <fill>
        <patternFill>
          <bgColor rgb="FFFF0000"/>
        </patternFill>
      </fill>
    </dxf>
    <dxf>
      <font>
        <color auto="1"/>
      </font>
      <fill>
        <patternFill>
          <bgColor theme="0"/>
        </patternFill>
      </fill>
    </dxf>
    <dxf>
      <font>
        <color theme="0"/>
      </font>
      <fill>
        <patternFill>
          <bgColor rgb="FF00B050"/>
        </patternFill>
      </fill>
    </dxf>
    <dxf>
      <font>
        <color theme="0"/>
      </font>
      <fill>
        <patternFill>
          <bgColor rgb="FFFF0000"/>
        </patternFill>
      </fill>
    </dxf>
    <dxf>
      <font>
        <color auto="1"/>
      </font>
      <fill>
        <patternFill>
          <bgColor theme="0"/>
        </patternFill>
      </fill>
    </dxf>
    <dxf>
      <font>
        <strike val="0"/>
        <outline val="0"/>
        <shadow val="0"/>
        <u val="none"/>
        <vertAlign val="baseline"/>
        <sz val="11"/>
        <color theme="0"/>
        <name val="Calibri"/>
        <scheme val="minor"/>
      </font>
      <fill>
        <patternFill patternType="solid">
          <fgColor indexed="64"/>
          <bgColor theme="7" tint="-0.249977111117893"/>
        </patternFill>
      </fill>
    </dxf>
    <dxf>
      <font>
        <strike val="0"/>
        <outline val="0"/>
        <shadow val="0"/>
        <u val="none"/>
        <vertAlign val="baseline"/>
        <sz val="11"/>
        <color theme="0"/>
        <name val="Calibri"/>
        <scheme val="minor"/>
      </font>
      <fill>
        <patternFill patternType="solid">
          <fgColor indexed="64"/>
          <bgColor theme="7" tint="-0.249977111117893"/>
        </patternFill>
      </fill>
    </dxf>
    <dxf>
      <font>
        <strike val="0"/>
        <outline val="0"/>
        <shadow val="0"/>
        <u val="none"/>
        <vertAlign val="baseline"/>
        <sz val="11"/>
        <color theme="0"/>
        <name val="Calibri"/>
        <scheme val="minor"/>
      </font>
      <fill>
        <patternFill patternType="solid">
          <fgColor indexed="64"/>
          <bgColor theme="7" tint="-0.249977111117893"/>
        </patternFill>
      </fill>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7" tint="-0.249977111117893"/>
        </patternFill>
      </fill>
    </dxf>
    <dxf>
      <numFmt numFmtId="165" formatCode="_(* #,##0_);_(* \(#,##0\);_(* &quot;-&quot;??_);_(@_)"/>
    </dxf>
    <dxf>
      <numFmt numFmtId="165" formatCode="_(* #,##0_);_(* \(#,##0\);_(* &quot;-&quot;??_);_(@_)"/>
    </dxf>
    <dxf>
      <font>
        <strike val="0"/>
        <outline val="0"/>
        <shadow val="0"/>
        <u val="none"/>
        <vertAlign val="baseline"/>
        <sz val="11"/>
        <color theme="0"/>
        <name val="Calibri"/>
        <scheme val="minor"/>
      </font>
      <numFmt numFmtId="165" formatCode="_(* #,##0_);_(* \(#,##0\);_(* &quot;-&quot;??_);_(@_)"/>
      <fill>
        <patternFill patternType="solid">
          <fgColor indexed="64"/>
          <bgColor theme="7" tint="-0.249977111117893"/>
        </patternFill>
      </fill>
    </dxf>
    <dxf>
      <font>
        <strike val="0"/>
        <outline val="0"/>
        <shadow val="0"/>
        <u val="none"/>
        <vertAlign val="baseline"/>
        <sz val="11"/>
        <color theme="0"/>
        <name val="Calibri"/>
        <scheme val="minor"/>
      </font>
      <numFmt numFmtId="165" formatCode="_(* #,##0_);_(* \(#,##0\);_(* &quot;-&quot;??_);_(@_)"/>
      <fill>
        <patternFill patternType="solid">
          <fgColor indexed="64"/>
          <bgColor theme="7" tint="-0.249977111117893"/>
        </patternFill>
      </fill>
    </dxf>
    <dxf>
      <font>
        <strike val="0"/>
        <outline val="0"/>
        <shadow val="0"/>
        <u val="none"/>
        <vertAlign val="baseline"/>
        <sz val="11"/>
        <color theme="0"/>
        <name val="Calibri"/>
        <scheme val="minor"/>
      </font>
      <numFmt numFmtId="165" formatCode="_(* #,##0_);_(* \(#,##0\);_(* &quot;-&quot;??_);_(@_)"/>
      <fill>
        <patternFill patternType="solid">
          <fgColor indexed="64"/>
          <bgColor theme="7" tint="-0.249977111117893"/>
        </patternFill>
      </fill>
    </dxf>
    <dxf>
      <numFmt numFmtId="164" formatCode="[$-F800]dddd\,\ mmmm\ dd\,\ yyyy"/>
    </dxf>
    <dxf>
      <numFmt numFmtId="0" formatCode="General"/>
    </dxf>
    <dxf>
      <font>
        <b/>
        <color theme="1"/>
      </font>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
      <font>
        <b val="0"/>
        <i val="0"/>
        <color theme="1"/>
      </font>
      <fill>
        <patternFill>
          <bgColor theme="0"/>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rgb="FFC00000"/>
        </patternFill>
      </fill>
      <border>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Akram" pivot="0" count="3">
      <tableStyleElement type="wholeTable" dxfId="55"/>
      <tableStyleElement type="headerRow" dxfId="54"/>
      <tableStyleElement type="firstRowStripe" dxfId="53"/>
    </tableStyle>
    <tableStyle name="SlicerStyleDark2 2" pivot="0" table="0" count="10">
      <tableStyleElement type="wholeTable" dxfId="52"/>
      <tableStyleElement type="headerRow" dxfId="51"/>
    </tableStyle>
  </tableStyles>
  <colors>
    <mruColors>
      <color rgb="FFFF66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rgb="FFC00000"/>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5"/>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152401</xdr:rowOff>
    </xdr:from>
    <xdr:to>
      <xdr:col>1</xdr:col>
      <xdr:colOff>601980</xdr:colOff>
      <xdr:row>3</xdr:row>
      <xdr:rowOff>38100</xdr:rowOff>
    </xdr:to>
    <mc:AlternateContent xmlns:mc="http://schemas.openxmlformats.org/markup-compatibility/2006" xmlns:sle15="http://schemas.microsoft.com/office/drawing/2012/slicer">
      <mc:Choice Requires="sle15">
        <xdr:graphicFrame macro="">
          <xdr:nvGraphicFramePr>
            <xdr:cNvPr id="2" name="نوعه"/>
            <xdr:cNvGraphicFramePr/>
          </xdr:nvGraphicFramePr>
          <xdr:xfrm>
            <a:off x="0" y="0"/>
            <a:ext cx="0" cy="0"/>
          </xdr:xfrm>
          <a:graphic>
            <a:graphicData uri="http://schemas.microsoft.com/office/drawing/2010/slicer">
              <sle:slicer xmlns:sle="http://schemas.microsoft.com/office/drawing/2010/slicer" name="نوعه"/>
            </a:graphicData>
          </a:graphic>
        </xdr:graphicFrame>
      </mc:Choice>
      <mc:Fallback xmlns="">
        <xdr:sp macro="" textlink="">
          <xdr:nvSpPr>
            <xdr:cNvPr id="0" name=""/>
            <xdr:cNvSpPr>
              <a:spLocks noTextEdit="1"/>
            </xdr:cNvSpPr>
          </xdr:nvSpPr>
          <xdr:spPr>
            <a:xfrm>
              <a:off x="9989941920" y="152401"/>
              <a:ext cx="1775460" cy="43433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13162</xdr:colOff>
      <xdr:row>3</xdr:row>
      <xdr:rowOff>121226</xdr:rowOff>
    </xdr:from>
    <xdr:to>
      <xdr:col>15</xdr:col>
      <xdr:colOff>407324</xdr:colOff>
      <xdr:row>27</xdr:row>
      <xdr:rowOff>166947</xdr:rowOff>
    </xdr:to>
    <mc:AlternateContent xmlns:mc="http://schemas.openxmlformats.org/markup-compatibility/2006" xmlns:sle15="http://schemas.microsoft.com/office/drawing/2012/slicer">
      <mc:Choice Requires="sle15">
        <xdr:graphicFrame macro="">
          <xdr:nvGraphicFramePr>
            <xdr:cNvPr id="2" name="الصندوق"/>
            <xdr:cNvGraphicFramePr/>
          </xdr:nvGraphicFramePr>
          <xdr:xfrm>
            <a:off x="0" y="0"/>
            <a:ext cx="0" cy="0"/>
          </xdr:xfrm>
          <a:graphic>
            <a:graphicData uri="http://schemas.microsoft.com/office/drawing/2010/slicer">
              <sle:slicer xmlns:sle="http://schemas.microsoft.com/office/drawing/2010/slicer" name="الصندوق"/>
            </a:graphicData>
          </a:graphic>
        </xdr:graphicFrame>
      </mc:Choice>
      <mc:Fallback xmlns="">
        <xdr:sp macro="" textlink="">
          <xdr:nvSpPr>
            <xdr:cNvPr id="0" name=""/>
            <xdr:cNvSpPr>
              <a:spLocks noTextEdit="1"/>
            </xdr:cNvSpPr>
          </xdr:nvSpPr>
          <xdr:spPr>
            <a:xfrm>
              <a:off x="9978135076" y="751608"/>
              <a:ext cx="1003762" cy="436833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15</xdr:col>
      <xdr:colOff>429492</xdr:colOff>
      <xdr:row>3</xdr:row>
      <xdr:rowOff>134389</xdr:rowOff>
    </xdr:from>
    <xdr:to>
      <xdr:col>16</xdr:col>
      <xdr:colOff>536172</xdr:colOff>
      <xdr:row>10</xdr:row>
      <xdr:rowOff>30481</xdr:rowOff>
    </xdr:to>
    <mc:AlternateContent xmlns:mc="http://schemas.openxmlformats.org/markup-compatibility/2006" xmlns:sle15="http://schemas.microsoft.com/office/drawing/2012/slicer">
      <mc:Choice Requires="sle15">
        <xdr:graphicFrame macro="">
          <xdr:nvGraphicFramePr>
            <xdr:cNvPr id="3" name="نوعه 1"/>
            <xdr:cNvGraphicFramePr/>
          </xdr:nvGraphicFramePr>
          <xdr:xfrm>
            <a:off x="0" y="0"/>
            <a:ext cx="0" cy="0"/>
          </xdr:xfrm>
          <a:graphic>
            <a:graphicData uri="http://schemas.microsoft.com/office/drawing/2010/slicer">
              <sle:slicer xmlns:sle="http://schemas.microsoft.com/office/drawing/2010/slicer" name="نوعه 1"/>
            </a:graphicData>
          </a:graphic>
        </xdr:graphicFrame>
      </mc:Choice>
      <mc:Fallback xmlns="">
        <xdr:sp macro="" textlink="">
          <xdr:nvSpPr>
            <xdr:cNvPr id="0" name=""/>
            <xdr:cNvSpPr>
              <a:spLocks noTextEdit="1"/>
            </xdr:cNvSpPr>
          </xdr:nvSpPr>
          <xdr:spPr>
            <a:xfrm>
              <a:off x="9977396628" y="764771"/>
              <a:ext cx="716280" cy="115685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26447</xdr:colOff>
      <xdr:row>4</xdr:row>
      <xdr:rowOff>164951</xdr:rowOff>
    </xdr:from>
    <xdr:to>
      <xdr:col>7</xdr:col>
      <xdr:colOff>488577</xdr:colOff>
      <xdr:row>10</xdr:row>
      <xdr:rowOff>85165</xdr:rowOff>
    </xdr:to>
    <mc:AlternateContent xmlns:mc="http://schemas.openxmlformats.org/markup-compatibility/2006" xmlns:sle15="http://schemas.microsoft.com/office/drawing/2012/slicer">
      <mc:Choice Requires="sle15">
        <xdr:graphicFrame macro="">
          <xdr:nvGraphicFramePr>
            <xdr:cNvPr id="2" name="رصيد صفر؟"/>
            <xdr:cNvGraphicFramePr/>
          </xdr:nvGraphicFramePr>
          <xdr:xfrm>
            <a:off x="0" y="0"/>
            <a:ext cx="0" cy="0"/>
          </xdr:xfrm>
          <a:graphic>
            <a:graphicData uri="http://schemas.microsoft.com/office/drawing/2010/slicer">
              <sle:slicer xmlns:sle="http://schemas.microsoft.com/office/drawing/2010/slicer" name="رصيد صفر؟"/>
            </a:graphicData>
          </a:graphic>
        </xdr:graphicFrame>
      </mc:Choice>
      <mc:Fallback xmlns="">
        <xdr:sp macro="" textlink="">
          <xdr:nvSpPr>
            <xdr:cNvPr id="0" name=""/>
            <xdr:cNvSpPr>
              <a:spLocks noTextEdit="1"/>
            </xdr:cNvSpPr>
          </xdr:nvSpPr>
          <xdr:spPr>
            <a:xfrm>
              <a:off x="9982930623" y="891782"/>
              <a:ext cx="1071730" cy="101046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وعه" sourceName="نوعه">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الصندوق" sourceName="الصندوق">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نوعه1" sourceName="نوعه">
  <extLst>
    <x:ext xmlns:x15="http://schemas.microsoft.com/office/spreadsheetml/2010/11/main" uri="{2F2917AC-EB37-4324-AD4E-5DD8C200BD13}">
      <x15:tableSlicerCache tableId="2"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رصيد_صفر?" sourceName="رصيد صفر؟">
  <extLst>
    <x:ext xmlns:x15="http://schemas.microsoft.com/office/spreadsheetml/2010/11/main" uri="{2F2917AC-EB37-4324-AD4E-5DD8C200BD13}">
      <x15:tableSlicerCache tableId="5"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وعه" cache="Slicer_نوعه" caption="نوعه" columnCount="3" showCaption="0" style="SlicerStyleDark2 2"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الصندوق" cache="Slicer_الصندوق" caption="الصندوق" style="SlicerStyleDark2 2" rowHeight="234950"/>
  <slicer name="نوعه 1" cache="Slicer_نوعه1" caption="نوعه" style="SlicerStyleDark2 2" rowHeight="234950"/>
</slicers>
</file>

<file path=xl/slicers/slicer3.xml><?xml version="1.0" encoding="utf-8"?>
<slicers xmlns="http://schemas.microsoft.com/office/spreadsheetml/2009/9/main" xmlns:mc="http://schemas.openxmlformats.org/markup-compatibility/2006" xmlns:x="http://schemas.openxmlformats.org/spreadsheetml/2006/main" mc:Ignorable="x">
  <slicer name="رصيد صفر؟" cache="Slicer_رصيد_صفر?" caption="رصيد صفر؟" style="SlicerStyleDark2 2" rowHeight="234950"/>
</slicers>
</file>

<file path=xl/tables/table1.xml><?xml version="1.0" encoding="utf-8"?>
<table xmlns="http://schemas.openxmlformats.org/spreadsheetml/2006/main" id="1" name="Table1" displayName="Table1" ref="A6:E22" totalsRowCount="1">
  <autoFilter ref="A6:E21"/>
  <tableColumns count="5">
    <tableColumn id="1" name="الصندوق" totalsRowLabel="Total"/>
    <tableColumn id="2" name="نوعه"/>
    <tableColumn id="3" name="القيمة الشهرية" totalsRowFunction="sum"/>
    <tableColumn id="4" name="القيمة السنوية" dataDxfId="50">
      <calculatedColumnFormula>12*Table1[[#This Row],[القيمة الشهرية]]</calculatedColumnFormula>
    </tableColumn>
    <tableColumn id="5" name="ملاحظات" totalsRowFunction="count"/>
  </tableColumns>
  <tableStyleInfo name="Akram" showFirstColumn="0" showLastColumn="0" showRowStripes="1" showColumnStripes="0"/>
</table>
</file>

<file path=xl/tables/table2.xml><?xml version="1.0" encoding="utf-8"?>
<table xmlns="http://schemas.openxmlformats.org/spreadsheetml/2006/main" id="3" name="الحركات" displayName="الحركات" ref="A6:O493" totalsRowShown="0">
  <autoFilter ref="A6:O493"/>
  <tableColumns count="15">
    <tableColumn id="1" name="مدفوع من شهر"/>
    <tableColumn id="2" name="تاريخ الحركة" dataDxfId="49"/>
    <tableColumn id="3" name="من صندوق"/>
    <tableColumn id="4" name="رصيد (من صندوق)" dataDxfId="48" dataCellStyle="Comma">
      <calculatedColumnFormula>VLOOKUP(الحركات[[#This Row],[من صندوق]],Table5[],5,0)</calculatedColumnFormula>
    </tableColumn>
    <tableColumn id="5" name="إلى صندوق"/>
    <tableColumn id="6" name="رصيد (إلى  صندوق)" dataDxfId="47" dataCellStyle="Comma">
      <calculatedColumnFormula>VLOOKUP(الحركات[[#This Row],[إلى صندوق]],Table5[[الصندوق]:[الرصيد الفعلي]],5,0)</calculatedColumnFormula>
    </tableColumn>
    <tableColumn id="7" name="القيمة المقترحة" dataDxfId="46" dataCellStyle="Comma">
      <calculatedColumnFormula>IF(VLOOKUP(الحركات[إلى صندوق],Table1[],3,0)=0,VLOOKUP(الحركات[[#This Row],[من صندوق]],Table1[[الصندوق]:[القيمة الشهرية]],3,0),VLOOKUP(الحركات[إلى صندوق],Table1[],3,0))</calculatedColumnFormula>
    </tableColumn>
    <tableColumn id="8" name="القيمة / خطة" dataDxfId="45" dataCellStyle="Comma"/>
    <tableColumn id="9" name="القيمة الفعلية" dataDxfId="44" dataCellStyle="Comma"/>
    <tableColumn id="10" name="وصف الحركة"/>
    <tableColumn id="11" name="الحالة"/>
    <tableColumn id="12" name="فعالة؟" dataDxfId="43">
      <calculatedColumnFormula>AND(الحركات[[#This Row],[مدفوع من شهر]]&lt;=VALUE(TEXT($A$2,"YYYYMM")),الحركات[[#This Row],[الحالة]]="")</calculatedColumnFormula>
    </tableColumn>
    <tableColumn id="13" name="من/إلى" dataDxfId="42">
      <calculatedColumnFormula>الحركات[من صندوق]&amp;"/"&amp;الحركات[إلى صندوق]</calculatedColumnFormula>
    </tableColumn>
    <tableColumn id="14" name="نوعه (من)" dataDxfId="41">
      <calculatedColumnFormula>VLOOKUP(الحركات[من صندوق],Table1[],2,0)</calculatedColumnFormula>
    </tableColumn>
    <tableColumn id="15" name="نوعه (إلى)" dataDxfId="40">
      <calculatedColumnFormula>VLOOKUP(الحركات[إلى صندوق],Table1[[الصندوق]:[نوعه]],2,0)</calculatedColumnFormula>
    </tableColumn>
  </tableColumns>
  <tableStyleInfo name="Akram" showFirstColumn="0" showLastColumn="0" showRowStripes="1" showColumnStripes="0"/>
</table>
</file>

<file path=xl/tables/table3.xml><?xml version="1.0" encoding="utf-8"?>
<table xmlns="http://schemas.openxmlformats.org/spreadsheetml/2006/main" id="2" name="شهر12" displayName="شهر12" ref="A6:O22" totalsRowCount="1">
  <autoFilter ref="A6:O21"/>
  <tableColumns count="15">
    <tableColumn id="1" name="الصندوق" totalsRowLabel="Total">
      <calculatedColumnFormula>Table1[[#This Row],[الصندوق]]</calculatedColumnFormula>
    </tableColumn>
    <tableColumn id="2" name="نوعه">
      <calculatedColumnFormula>Table1[[#This Row],[نوعه]]</calculatedColumnFormula>
    </tableColumn>
    <tableColumn id="3" name="1" totalsRowFunction="sum" dataDxfId="33">
      <calculatedColumnFormula>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calculatedColumnFormula>
    </tableColumn>
    <tableColumn id="4" name="2" totalsRowFunction="sum" dataDxfId="32">
      <calculatedColumnFormula>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calculatedColumnFormula>
    </tableColumn>
    <tableColumn id="5" name="3" totalsRowFunction="sum" dataDxfId="31">
      <calculatedColumnFormula>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calculatedColumnFormula>
    </tableColumn>
    <tableColumn id="6" name="4" totalsRowFunction="sum" dataDxfId="30">
      <calculatedColumnFormula>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calculatedColumnFormula>
    </tableColumn>
    <tableColumn id="7" name="5" totalsRowFunction="sum" dataDxfId="29">
      <calculatedColumnFormula>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calculatedColumnFormula>
    </tableColumn>
    <tableColumn id="8" name="6" totalsRowFunction="sum" dataDxfId="28">
      <calculatedColumnFormula>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calculatedColumnFormula>
    </tableColumn>
    <tableColumn id="9" name="7" totalsRowFunction="sum" dataDxfId="27">
      <calculatedColumnFormula>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calculatedColumnFormula>
    </tableColumn>
    <tableColumn id="10" name="8" totalsRowFunction="sum" dataDxfId="26">
      <calculatedColumnFormula>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calculatedColumnFormula>
    </tableColumn>
    <tableColumn id="11" name="9" totalsRowFunction="sum" dataDxfId="25">
      <calculatedColumnFormula>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calculatedColumnFormula>
    </tableColumn>
    <tableColumn id="12" name="10" totalsRowFunction="sum" dataDxfId="24">
      <calculatedColumnFormula>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calculatedColumnFormula>
    </tableColumn>
    <tableColumn id="13" name="11" totalsRowFunction="sum" dataDxfId="23">
      <calculatedColumnFormula>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calculatedColumnFormula>
    </tableColumn>
    <tableColumn id="14" name="12" totalsRowFunction="sum" dataDxfId="22">
      <calculatedColumnFormula>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calculatedColumnFormula>
    </tableColumn>
    <tableColumn id="15" name="201905" dataDxfId="21">
      <calculatedColumnFormula>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calculatedColumnFormula>
    </tableColumn>
  </tableColumns>
  <tableStyleInfo name="Akram" showFirstColumn="0" showLastColumn="0" showRowStripes="1" showColumnStripes="0"/>
</table>
</file>

<file path=xl/tables/table4.xml><?xml version="1.0" encoding="utf-8"?>
<table xmlns="http://schemas.openxmlformats.org/spreadsheetml/2006/main" id="4" name="Table4" displayName="Table4" ref="A6:I21" totalsRowShown="0">
  <autoFilter ref="A6:I21"/>
  <tableColumns count="9">
    <tableColumn id="1" name="الصندوق">
      <calculatedColumnFormula>Table1[[#This Row],[الصندوق]]</calculatedColumnFormula>
    </tableColumn>
    <tableColumn id="2" name="المدخلات حسب الخطة" dataDxfId="17">
      <calculatedColumnFormula>SUMIFS(الحركات[القيمة / خطة],الحركات[إلى صندوق],Table4[[#This Row],[الصندوق]],الحركات[مدفوع من شهر],$F$3)</calculatedColumnFormula>
    </tableColumn>
    <tableColumn id="3" name="المدخلات الفعلية" dataDxfId="16">
      <calculatedColumnFormula>SUMIFS(الحركات[القيمة الفعلية],الحركات[إلى صندوق],Table4[[#This Row],[الصندوق]],الحركات[مدفوع من شهر],$F$3)</calculatedColumnFormula>
    </tableColumn>
    <tableColumn id="4" name="نسبة المدخلات الفعلية من الخطة" dataDxfId="15" dataCellStyle="Percent">
      <calculatedColumnFormula>IFERROR(Table4[[#This Row],[المدخلات الفعلية]]/Table4[[#This Row],[المدخلات حسب الخطة]],"-")</calculatedColumnFormula>
    </tableColumn>
    <tableColumn id="5" name="المصروفات حسب الخطة" dataDxfId="14">
      <calculatedColumnFormula>SUMIFS(الحركات[القيمة / خطة],الحركات[من صندوق],Table4[[#This Row],[الصندوق]],الحركات[مدفوع من شهر],'الوضع في شهر'!$F$3)</calculatedColumnFormula>
    </tableColumn>
    <tableColumn id="6" name="المصروفات الفعلية" dataDxfId="13">
      <calculatedColumnFormula>SUMIFS(الحركات[القيمة الفعلية],الحركات[من صندوق],Table4[[#This Row],[الصندوق]],الحركات[مدفوع من شهر],$F$3)</calculatedColumnFormula>
    </tableColumn>
    <tableColumn id="7" name="نسبة المصروفات الفعلية من الخطة" dataDxfId="12" dataCellStyle="Percent">
      <calculatedColumnFormula>IFERROR(Table4[[#This Row],[المصروفات الفعلية]]/Table4[[#This Row],[المصروفات حسب الخطة]],"-")</calculatedColumnFormula>
    </tableColumn>
    <tableColumn id="8" name="الرصيد حسب الخطة" dataDxfId="11">
      <calculatedColumnFormula>Table4[[#This Row],[المدخلات حسب الخطة]]-Table4[[#This Row],[المصروفات حسب الخطة]]</calculatedColumnFormula>
    </tableColumn>
    <tableColumn id="9" name="الرصيد الفعلي" dataDxfId="10">
      <calculatedColumnFormula>Table4[[#This Row],[المدخلات الفعلية]]-Table4[[#This Row],[المصروفات الفعلية]]</calculatedColumnFormula>
    </tableColumn>
  </tableColumns>
  <tableStyleInfo name="Akram" showFirstColumn="0" showLastColumn="0" showRowStripes="1" showColumnStripes="0"/>
</table>
</file>

<file path=xl/tables/table5.xml><?xml version="1.0" encoding="utf-8"?>
<table xmlns="http://schemas.openxmlformats.org/spreadsheetml/2006/main" id="5" name="Table5" displayName="Table5" ref="A6:F21" totalsRowShown="0">
  <autoFilter ref="A6:F21"/>
  <tableColumns count="6">
    <tableColumn id="1" name="الصندوق">
      <calculatedColumnFormula>Table1[[#This Row],[الصندوق]]</calculatedColumnFormula>
    </tableColumn>
    <tableColumn id="2" name="نوعه">
      <calculatedColumnFormula>Table1[[#This Row],[نوعه]]</calculatedColumnFormula>
    </tableColumn>
    <tableColumn id="3" name="مجموع الدخل الفعلي" dataDxfId="9">
      <calculatedColumnFormula>SUMIFS(الحركات[القيمة الفعلية],الحركات[إلى صندوق],Table5[[#This Row],[الصندوق]])</calculatedColumnFormula>
    </tableColumn>
    <tableColumn id="4" name="مجموع الصرف الفعلي" dataDxfId="8">
      <calculatedColumnFormula>SUMIFS(الحركات[القيمة الفعلية],الحركات[من صندوق],Table5[[#This Row],[الصندوق]])</calculatedColumnFormula>
    </tableColumn>
    <tableColumn id="5" name="الرصيد الفعلي" dataDxfId="7">
      <calculatedColumnFormula>Table5[[#This Row],[مجموع الدخل الفعلي]]-Table5[[#This Row],[مجموع الصرف الفعلي]]</calculatedColumnFormula>
    </tableColumn>
    <tableColumn id="6" name="رصيد صفر؟" dataDxfId="6">
      <calculatedColumnFormula>Table5[[#This Row],[الرصيد الفعلي]]=0</calculatedColumnFormula>
    </tableColumn>
  </tableColumns>
  <tableStyleInfo name="Akram" showFirstColumn="0" showLastColumn="0" showRowStripes="1" showColumnStripes="0"/>
</table>
</file>

<file path=xl/tables/table6.xml><?xml version="1.0" encoding="utf-8"?>
<table xmlns="http://schemas.openxmlformats.org/spreadsheetml/2006/main" id="6" name="Months" displayName="Months" ref="A1:A25" totalsRowShown="0" headerRowDxfId="5" dataDxfId="4">
  <autoFilter ref="A1:A25"/>
  <tableColumns count="1">
    <tableColumn id="1" name="الاشهر" dataDxfId="3"/>
  </tableColumns>
  <tableStyleInfo name="Akram" showFirstColumn="0" showLastColumn="0" showRowStripes="1" showColumnStripes="0"/>
</table>
</file>

<file path=xl/tables/table7.xml><?xml version="1.0" encoding="utf-8"?>
<table xmlns="http://schemas.openxmlformats.org/spreadsheetml/2006/main" id="7" name="Table7" displayName="Table7" ref="C1:C3" totalsRowShown="0" headerRowDxfId="2" dataDxfId="1">
  <autoFilter ref="C1:C3"/>
  <tableColumns count="1">
    <tableColumn id="1" name="الحالة" dataDxfId="0"/>
  </tableColumns>
  <tableStyleInfo name="Akram"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5.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rightToLeft="1" tabSelected="1" zoomScale="130" zoomScaleNormal="130" workbookViewId="0">
      <selection activeCell="A9" sqref="A9"/>
    </sheetView>
  </sheetViews>
  <sheetFormatPr defaultRowHeight="14.4" x14ac:dyDescent="0.3"/>
  <cols>
    <col min="1" max="4" width="18.21875" customWidth="1"/>
    <col min="5" max="5" width="28.21875" customWidth="1"/>
    <col min="6" max="6" width="12.109375" customWidth="1"/>
  </cols>
  <sheetData>
    <row r="1" spans="1:5" x14ac:dyDescent="0.3">
      <c r="A1" s="38" t="s">
        <v>24</v>
      </c>
      <c r="B1" s="38"/>
      <c r="C1" s="38"/>
      <c r="D1" s="38"/>
      <c r="E1" s="38"/>
    </row>
    <row r="2" spans="1:5" x14ac:dyDescent="0.3">
      <c r="A2" s="38"/>
      <c r="B2" s="38"/>
      <c r="C2" s="38"/>
      <c r="D2" s="38"/>
      <c r="E2" s="38"/>
    </row>
    <row r="3" spans="1:5" x14ac:dyDescent="0.3">
      <c r="A3" s="38"/>
      <c r="B3" s="38"/>
      <c r="C3" s="38"/>
      <c r="D3" s="38"/>
      <c r="E3" s="38"/>
    </row>
    <row r="4" spans="1:5" x14ac:dyDescent="0.3">
      <c r="A4" s="38"/>
      <c r="B4" s="38"/>
      <c r="C4" s="38"/>
      <c r="D4" s="38"/>
      <c r="E4" s="38"/>
    </row>
    <row r="5" spans="1:5" x14ac:dyDescent="0.3">
      <c r="A5" s="29"/>
      <c r="B5" s="29"/>
      <c r="C5" s="29"/>
      <c r="D5" s="29"/>
      <c r="E5" s="29"/>
    </row>
    <row r="6" spans="1:5" x14ac:dyDescent="0.3">
      <c r="A6" t="s">
        <v>6</v>
      </c>
      <c r="B6" t="s">
        <v>19</v>
      </c>
      <c r="C6" t="s">
        <v>7</v>
      </c>
      <c r="D6" t="s">
        <v>8</v>
      </c>
      <c r="E6" t="s">
        <v>5</v>
      </c>
    </row>
    <row r="7" spans="1:5" x14ac:dyDescent="0.3">
      <c r="A7" t="s">
        <v>20</v>
      </c>
      <c r="B7" t="s">
        <v>17</v>
      </c>
      <c r="C7">
        <v>10000</v>
      </c>
      <c r="D7">
        <f>12*Table1[[#This Row],[القيمة الشهرية]]</f>
        <v>120000</v>
      </c>
    </row>
    <row r="8" spans="1:5" x14ac:dyDescent="0.3">
      <c r="A8" t="s">
        <v>14</v>
      </c>
      <c r="B8" t="s">
        <v>17</v>
      </c>
      <c r="D8" s="1">
        <f>12*Table1[[#This Row],[القيمة الشهرية]]</f>
        <v>0</v>
      </c>
    </row>
    <row r="9" spans="1:5" x14ac:dyDescent="0.3">
      <c r="A9" t="s">
        <v>18</v>
      </c>
      <c r="B9" t="s">
        <v>16</v>
      </c>
      <c r="C9">
        <v>10000</v>
      </c>
      <c r="D9">
        <f>12*Table1[[#This Row],[القيمة الشهرية]]</f>
        <v>120000</v>
      </c>
    </row>
    <row r="10" spans="1:5" x14ac:dyDescent="0.3">
      <c r="A10" t="s">
        <v>11</v>
      </c>
      <c r="B10" t="s">
        <v>14</v>
      </c>
      <c r="C10">
        <v>250</v>
      </c>
      <c r="D10" s="1">
        <f>12*Table1[[#This Row],[القيمة الشهرية]]</f>
        <v>3000</v>
      </c>
    </row>
    <row r="11" spans="1:5" x14ac:dyDescent="0.3">
      <c r="A11" t="s">
        <v>13</v>
      </c>
      <c r="B11" t="s">
        <v>14</v>
      </c>
      <c r="C11">
        <v>3800</v>
      </c>
      <c r="D11" s="1">
        <f>12*Table1[[#This Row],[القيمة الشهرية]]</f>
        <v>45600</v>
      </c>
    </row>
    <row r="12" spans="1:5" x14ac:dyDescent="0.3">
      <c r="A12" t="s">
        <v>3</v>
      </c>
      <c r="B12" t="s">
        <v>14</v>
      </c>
      <c r="C12">
        <v>2000</v>
      </c>
      <c r="D12" s="1">
        <f>12*Table1[[#This Row],[القيمة الشهرية]]</f>
        <v>24000</v>
      </c>
    </row>
    <row r="13" spans="1:5" x14ac:dyDescent="0.3">
      <c r="A13" t="s">
        <v>21</v>
      </c>
      <c r="B13" t="s">
        <v>14</v>
      </c>
      <c r="C13">
        <v>1500</v>
      </c>
      <c r="D13" s="1">
        <f>12*Table1[[#This Row],[القيمة الشهرية]]</f>
        <v>18000</v>
      </c>
    </row>
    <row r="14" spans="1:5" x14ac:dyDescent="0.3">
      <c r="A14" t="s">
        <v>0</v>
      </c>
      <c r="B14" t="s">
        <v>14</v>
      </c>
      <c r="C14">
        <v>500</v>
      </c>
      <c r="D14" s="1">
        <f>12*Table1[[#This Row],[القيمة الشهرية]]</f>
        <v>6000</v>
      </c>
    </row>
    <row r="15" spans="1:5" x14ac:dyDescent="0.3">
      <c r="A15" t="s">
        <v>12</v>
      </c>
      <c r="B15" t="s">
        <v>14</v>
      </c>
      <c r="C15">
        <v>400</v>
      </c>
      <c r="D15" s="1">
        <f>12*Table1[[#This Row],[القيمة الشهرية]]</f>
        <v>4800</v>
      </c>
    </row>
    <row r="16" spans="1:5" x14ac:dyDescent="0.3">
      <c r="A16" t="s">
        <v>9</v>
      </c>
      <c r="B16" t="s">
        <v>14</v>
      </c>
      <c r="C16">
        <v>200</v>
      </c>
      <c r="D16" s="1">
        <f>12*Table1[[#This Row],[القيمة الشهرية]]</f>
        <v>2400</v>
      </c>
    </row>
    <row r="17" spans="1:5" x14ac:dyDescent="0.3">
      <c r="A17" t="s">
        <v>22</v>
      </c>
      <c r="B17" t="s">
        <v>14</v>
      </c>
      <c r="C17">
        <v>200</v>
      </c>
      <c r="D17" s="1">
        <f>12*Table1[[#This Row],[القيمة الشهرية]]</f>
        <v>2400</v>
      </c>
    </row>
    <row r="18" spans="1:5" x14ac:dyDescent="0.3">
      <c r="A18" t="s">
        <v>10</v>
      </c>
      <c r="B18" t="s">
        <v>14</v>
      </c>
      <c r="C18">
        <v>250</v>
      </c>
      <c r="D18" s="1">
        <f>12*Table1[[#This Row],[القيمة الشهرية]]</f>
        <v>3000</v>
      </c>
      <c r="E18" t="s">
        <v>23</v>
      </c>
    </row>
    <row r="19" spans="1:5" x14ac:dyDescent="0.3">
      <c r="A19" t="s">
        <v>15</v>
      </c>
      <c r="B19" t="s">
        <v>14</v>
      </c>
      <c r="C19">
        <v>285</v>
      </c>
      <c r="D19" s="1">
        <f>12*Table1[[#This Row],[القيمة الشهرية]]</f>
        <v>3420</v>
      </c>
    </row>
    <row r="20" spans="1:5" x14ac:dyDescent="0.3">
      <c r="A20" t="s">
        <v>1</v>
      </c>
      <c r="B20" t="s">
        <v>14</v>
      </c>
      <c r="C20">
        <v>190</v>
      </c>
      <c r="D20" s="1">
        <f>12*Table1[[#This Row],[القيمة الشهرية]]</f>
        <v>2280</v>
      </c>
    </row>
    <row r="21" spans="1:5" x14ac:dyDescent="0.3">
      <c r="A21" t="s">
        <v>4</v>
      </c>
      <c r="B21" t="s">
        <v>14</v>
      </c>
      <c r="C21">
        <v>200</v>
      </c>
      <c r="D21" s="1">
        <f>12*Table1[[#This Row],[القيمة الشهرية]]</f>
        <v>2400</v>
      </c>
    </row>
    <row r="22" spans="1:5" x14ac:dyDescent="0.3">
      <c r="A22" t="s">
        <v>2</v>
      </c>
      <c r="C22">
        <f>SUBTOTAL(109,Table1[القيمة الشهرية])</f>
        <v>29775</v>
      </c>
      <c r="E22">
        <f>SUBTOTAL(103,Table1[ملاحظات])</f>
        <v>1</v>
      </c>
    </row>
  </sheetData>
  <mergeCells count="1">
    <mergeCell ref="A1:E4"/>
  </mergeCells>
  <pageMargins left="0.7" right="0.7" top="0.75" bottom="0.75" header="0.3" footer="0.3"/>
  <pageSetup paperSize="9" orientation="portrait"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3"/>
  <sheetViews>
    <sheetView showGridLines="0" rightToLeft="1" zoomScale="120" zoomScaleNormal="120" workbookViewId="0">
      <selection activeCell="B8" sqref="B8"/>
    </sheetView>
  </sheetViews>
  <sheetFormatPr defaultRowHeight="14.4" x14ac:dyDescent="0.3"/>
  <cols>
    <col min="1" max="1" width="13.5546875" bestFit="1" customWidth="1"/>
    <col min="2" max="2" width="22.21875" bestFit="1" customWidth="1"/>
    <col min="3" max="3" width="12.109375" bestFit="1" customWidth="1"/>
    <col min="4" max="4" width="16.6640625" bestFit="1" customWidth="1"/>
    <col min="5" max="5" width="11.44140625" bestFit="1" customWidth="1"/>
    <col min="6" max="6" width="16.77734375" bestFit="1" customWidth="1"/>
    <col min="7" max="7" width="13.5546875" bestFit="1" customWidth="1"/>
    <col min="8" max="8" width="12.5546875" bestFit="1" customWidth="1"/>
    <col min="9" max="9" width="12.44140625" bestFit="1" customWidth="1"/>
    <col min="10" max="10" width="15.77734375" bestFit="1" customWidth="1"/>
    <col min="11" max="11" width="8.6640625" customWidth="1"/>
    <col min="12" max="12" width="7.33203125" customWidth="1"/>
    <col min="13" max="13" width="15.6640625" bestFit="1" customWidth="1"/>
    <col min="14" max="14" width="10" customWidth="1"/>
    <col min="15" max="15" width="9.33203125" customWidth="1"/>
  </cols>
  <sheetData>
    <row r="1" spans="1:15" ht="28.8" x14ac:dyDescent="0.3">
      <c r="A1" s="2" t="s">
        <v>42</v>
      </c>
      <c r="B1" s="2" t="s">
        <v>41</v>
      </c>
      <c r="C1" s="4" t="s">
        <v>43</v>
      </c>
      <c r="D1" s="29"/>
      <c r="E1" s="29"/>
      <c r="F1" s="29"/>
      <c r="G1" s="29"/>
      <c r="H1" s="29"/>
      <c r="I1" s="29"/>
      <c r="J1" s="29"/>
      <c r="K1" s="29"/>
      <c r="L1" s="29"/>
      <c r="M1" s="29"/>
      <c r="N1" s="29"/>
      <c r="O1" s="29"/>
    </row>
    <row r="2" spans="1:15" x14ac:dyDescent="0.3">
      <c r="A2" s="5">
        <f ca="1">IF(ISBLANK(C2),B2,C2)</f>
        <v>43293</v>
      </c>
      <c r="B2" s="5">
        <f ca="1">TODAY()</f>
        <v>43293</v>
      </c>
      <c r="C2" s="6"/>
      <c r="D2" s="29"/>
      <c r="E2" s="29"/>
      <c r="F2" s="29"/>
      <c r="G2" s="29"/>
      <c r="H2" s="29"/>
      <c r="I2" s="29"/>
      <c r="J2" s="29"/>
      <c r="K2" s="29"/>
      <c r="L2" s="29"/>
      <c r="M2" s="29"/>
      <c r="N2" s="29"/>
      <c r="O2" s="29"/>
    </row>
    <row r="3" spans="1:15" x14ac:dyDescent="0.3">
      <c r="A3" s="29"/>
      <c r="B3" s="29"/>
      <c r="C3" s="29"/>
      <c r="D3" s="29"/>
      <c r="E3" s="29"/>
      <c r="F3" s="29"/>
      <c r="G3" s="29"/>
      <c r="H3" s="29"/>
      <c r="I3" s="29"/>
      <c r="J3" s="29"/>
      <c r="K3" s="29"/>
      <c r="L3" s="29"/>
      <c r="M3" s="29"/>
      <c r="N3" s="29"/>
      <c r="O3" s="29"/>
    </row>
    <row r="4" spans="1:15" x14ac:dyDescent="0.3">
      <c r="A4" s="29"/>
      <c r="B4" s="29"/>
      <c r="C4" s="29"/>
      <c r="D4" s="29"/>
      <c r="E4" s="29"/>
      <c r="F4" s="29"/>
      <c r="G4" s="29"/>
      <c r="H4" s="29"/>
      <c r="I4" s="29"/>
      <c r="J4" s="29"/>
      <c r="K4" s="29"/>
      <c r="L4" s="29"/>
      <c r="M4" s="29"/>
      <c r="N4" s="29"/>
      <c r="O4" s="29"/>
    </row>
    <row r="5" spans="1:15" x14ac:dyDescent="0.3">
      <c r="A5" s="36">
        <f>SUBTOTAL(3,الحركات[مدفوع من شهر])</f>
        <v>487</v>
      </c>
      <c r="B5" s="29"/>
      <c r="C5" s="29"/>
      <c r="D5" s="29"/>
      <c r="E5" s="29"/>
      <c r="F5" s="29"/>
      <c r="G5" s="29"/>
      <c r="H5" s="36">
        <f>SUBTOTAL(9,الحركات[القيمة / خطة])</f>
        <v>742000</v>
      </c>
      <c r="I5" s="36">
        <f>SUBTOTAL(9,الحركات[القيمة الفعلية])</f>
        <v>24800</v>
      </c>
      <c r="J5" s="36">
        <f>H5-I5</f>
        <v>717200</v>
      </c>
      <c r="K5" s="29"/>
      <c r="L5" s="29"/>
      <c r="M5" s="29"/>
      <c r="N5" s="29"/>
      <c r="O5" s="29"/>
    </row>
    <row r="6" spans="1:15" x14ac:dyDescent="0.3">
      <c r="A6" t="s">
        <v>25</v>
      </c>
      <c r="B6" t="s">
        <v>26</v>
      </c>
      <c r="C6" t="s">
        <v>27</v>
      </c>
      <c r="D6" t="s">
        <v>28</v>
      </c>
      <c r="E6" t="s">
        <v>29</v>
      </c>
      <c r="F6" t="s">
        <v>30</v>
      </c>
      <c r="G6" t="s">
        <v>31</v>
      </c>
      <c r="H6" t="s">
        <v>32</v>
      </c>
      <c r="I6" t="s">
        <v>33</v>
      </c>
      <c r="J6" t="s">
        <v>34</v>
      </c>
      <c r="K6" t="s">
        <v>35</v>
      </c>
      <c r="L6" t="s">
        <v>36</v>
      </c>
      <c r="M6" t="s">
        <v>37</v>
      </c>
      <c r="N6" t="s">
        <v>38</v>
      </c>
      <c r="O6" t="s">
        <v>39</v>
      </c>
    </row>
    <row r="7" spans="1:15" x14ac:dyDescent="0.3">
      <c r="A7">
        <v>201801</v>
      </c>
      <c r="B7" s="3">
        <v>43101</v>
      </c>
      <c r="C7" t="s">
        <v>20</v>
      </c>
      <c r="D7" s="15">
        <f>VLOOKUP(الحركات[[#This Row],[من صندوق]],Table5[],5,0)</f>
        <v>-10000</v>
      </c>
      <c r="E7" t="s">
        <v>18</v>
      </c>
      <c r="F7" s="15">
        <f>VLOOKUP(الحركات[[#This Row],[إلى صندوق]],Table5[[الصندوق]:[الرصيد الفعلي]],5,0)</f>
        <v>225</v>
      </c>
      <c r="G7" s="15">
        <f>IF(VLOOKUP(الحركات[إلى صندوق],Table1[],3,0)=0,VLOOKUP(الحركات[[#This Row],[من صندوق]],Table1[[الصندوق]:[القيمة الشهرية]],3,0),VLOOKUP(الحركات[إلى صندوق],Table1[],3,0))</f>
        <v>10000</v>
      </c>
      <c r="H7" s="22">
        <v>10000</v>
      </c>
      <c r="I7" s="22">
        <v>10000</v>
      </c>
      <c r="J7" t="s">
        <v>40</v>
      </c>
      <c r="K7" t="s">
        <v>45</v>
      </c>
      <c r="L7" s="2" t="b">
        <f ca="1">AND(الحركات[[#This Row],[مدفوع من شهر]]&lt;=VALUE(TEXT($A$2,"YYYYMM")),الحركات[[#This Row],[الحالة]]="")</f>
        <v>0</v>
      </c>
      <c r="M7" s="2" t="str">
        <f>الحركات[من صندوق]&amp;"/"&amp;الحركات[إلى صندوق]</f>
        <v>الشركة/الراتب</v>
      </c>
      <c r="N7" s="2" t="str">
        <f>VLOOKUP(الحركات[من صندوق],Table1[],2,0)</f>
        <v>خارجي</v>
      </c>
      <c r="O7" s="2" t="str">
        <f>VLOOKUP(الحركات[إلى صندوق],Table1[[الصندوق]:[نوعه]],2,0)</f>
        <v>دخل</v>
      </c>
    </row>
    <row r="8" spans="1:15" x14ac:dyDescent="0.3">
      <c r="A8">
        <v>201801</v>
      </c>
      <c r="B8" s="3"/>
      <c r="C8" t="s">
        <v>18</v>
      </c>
      <c r="D8" s="15">
        <f>VLOOKUP(الحركات[[#This Row],[من صندوق]],Table5[],5,0)</f>
        <v>225</v>
      </c>
      <c r="E8" t="s">
        <v>11</v>
      </c>
      <c r="F8" s="15">
        <f>VLOOKUP(الحركات[[#This Row],[إلى صندوق]],Table5[[الصندوق]:[الرصيد الفعلي]],5,0)</f>
        <v>0</v>
      </c>
      <c r="G8" s="15">
        <f>IF(VLOOKUP(الحركات[إلى صندوق],Table1[],3,0)=0,VLOOKUP(الحركات[[#This Row],[من صندوق]],Table1[[الصندوق]:[القيمة الشهرية]],3,0),VLOOKUP(الحركات[إلى صندوق],Table1[],3,0))</f>
        <v>250</v>
      </c>
      <c r="H8" s="22">
        <v>250</v>
      </c>
      <c r="I8" s="22">
        <v>250</v>
      </c>
      <c r="J8" t="s">
        <v>47</v>
      </c>
      <c r="K8" t="s">
        <v>45</v>
      </c>
      <c r="L8" s="2" t="b">
        <f ca="1">AND(الحركات[[#This Row],[مدفوع من شهر]]&lt;=VALUE(TEXT($A$2,"YYYYMM")),الحركات[[#This Row],[الحالة]]="")</f>
        <v>0</v>
      </c>
      <c r="M8" s="2" t="str">
        <f>الحركات[من صندوق]&amp;"/"&amp;الحركات[إلى صندوق]</f>
        <v>الراتب/فواتير</v>
      </c>
      <c r="N8" s="2" t="str">
        <f>VLOOKUP(الحركات[من صندوق],Table1[],2,0)</f>
        <v>دخل</v>
      </c>
      <c r="O8" s="2" t="str">
        <f>VLOOKUP(الحركات[إلى صندوق],Table1[[الصندوق]:[نوعه]],2,0)</f>
        <v>صرف</v>
      </c>
    </row>
    <row r="9" spans="1:15" x14ac:dyDescent="0.3">
      <c r="A9">
        <v>201801</v>
      </c>
      <c r="B9" s="3"/>
      <c r="C9" t="s">
        <v>18</v>
      </c>
      <c r="D9" s="15">
        <f>VLOOKUP(الحركات[[#This Row],[من صندوق]],Table5[],5,0)</f>
        <v>225</v>
      </c>
      <c r="E9" t="s">
        <v>13</v>
      </c>
      <c r="F9" s="15">
        <f>VLOOKUP(الحركات[[#This Row],[إلى صندوق]],Table5[[الصندوق]:[الرصيد الفعلي]],5,0)</f>
        <v>0</v>
      </c>
      <c r="G9" s="15">
        <f>IF(VLOOKUP(الحركات[إلى صندوق],Table1[],3,0)=0,VLOOKUP(الحركات[[#This Row],[من صندوق]],Table1[[الصندوق]:[القيمة الشهرية]],3,0),VLOOKUP(الحركات[إلى صندوق],Table1[],3,0))</f>
        <v>3800</v>
      </c>
      <c r="H9" s="22">
        <v>3800</v>
      </c>
      <c r="I9" s="22">
        <v>3800</v>
      </c>
      <c r="J9" t="s">
        <v>48</v>
      </c>
      <c r="K9" t="s">
        <v>45</v>
      </c>
      <c r="L9" s="2" t="b">
        <f ca="1">AND(الحركات[[#This Row],[مدفوع من شهر]]&lt;=VALUE(TEXT($A$2,"YYYYMM")),الحركات[[#This Row],[الحالة]]="")</f>
        <v>0</v>
      </c>
      <c r="M9" s="2" t="str">
        <f>الحركات[من صندوق]&amp;"/"&amp;الحركات[إلى صندوق]</f>
        <v>الراتب/مصاريف شهرية</v>
      </c>
      <c r="N9" s="2" t="str">
        <f>VLOOKUP(الحركات[من صندوق],Table1[],2,0)</f>
        <v>دخل</v>
      </c>
      <c r="O9" s="2" t="str">
        <f>VLOOKUP(الحركات[إلى صندوق],Table1[[الصندوق]:[نوعه]],2,0)</f>
        <v>صرف</v>
      </c>
    </row>
    <row r="10" spans="1:15" x14ac:dyDescent="0.3">
      <c r="A10">
        <v>201801</v>
      </c>
      <c r="B10" s="3"/>
      <c r="C10" t="s">
        <v>18</v>
      </c>
      <c r="D10" s="15">
        <f>VLOOKUP(الحركات[[#This Row],[من صندوق]],Table5[],5,0)</f>
        <v>225</v>
      </c>
      <c r="E10" t="s">
        <v>3</v>
      </c>
      <c r="F10" s="15">
        <f>VLOOKUP(الحركات[[#This Row],[إلى صندوق]],Table5[[الصندوق]:[الرصيد الفعلي]],5,0)</f>
        <v>2000</v>
      </c>
      <c r="G10" s="15">
        <f>IF(VLOOKUP(الحركات[إلى صندوق],Table1[],3,0)=0,VLOOKUP(الحركات[[#This Row],[من صندوق]],Table1[[الصندوق]:[القيمة الشهرية]],3,0),VLOOKUP(الحركات[إلى صندوق],Table1[],3,0))</f>
        <v>2000</v>
      </c>
      <c r="H10" s="22">
        <v>2000</v>
      </c>
      <c r="I10" s="22">
        <v>2000</v>
      </c>
      <c r="J10" t="s">
        <v>49</v>
      </c>
      <c r="K10" t="s">
        <v>45</v>
      </c>
      <c r="L10" s="2" t="b">
        <f ca="1">AND(الحركات[[#This Row],[مدفوع من شهر]]&lt;=VALUE(TEXT($A$2,"YYYYMM")),الحركات[[#This Row],[الحالة]]="")</f>
        <v>0</v>
      </c>
      <c r="M10" s="2" t="str">
        <f>الحركات[من صندوق]&amp;"/"&amp;الحركات[إلى صندوق]</f>
        <v>الراتب/مدارس</v>
      </c>
      <c r="N10" s="2" t="str">
        <f>VLOOKUP(الحركات[من صندوق],Table1[],2,0)</f>
        <v>دخل</v>
      </c>
      <c r="O10" s="2" t="str">
        <f>VLOOKUP(الحركات[إلى صندوق],Table1[[الصندوق]:[نوعه]],2,0)</f>
        <v>صرف</v>
      </c>
    </row>
    <row r="11" spans="1:15" x14ac:dyDescent="0.3">
      <c r="A11">
        <v>201801</v>
      </c>
      <c r="B11" s="3"/>
      <c r="C11" t="s">
        <v>18</v>
      </c>
      <c r="D11" s="15">
        <f>VLOOKUP(الحركات[[#This Row],[من صندوق]],Table5[],5,0)</f>
        <v>225</v>
      </c>
      <c r="E11" t="s">
        <v>21</v>
      </c>
      <c r="F11" s="15">
        <f>VLOOKUP(الحركات[[#This Row],[إلى صندوق]],Table5[[الصندوق]:[الرصيد الفعلي]],5,0)</f>
        <v>1500</v>
      </c>
      <c r="G11" s="15">
        <f>IF(VLOOKUP(الحركات[إلى صندوق],Table1[],3,0)=0,VLOOKUP(الحركات[[#This Row],[من صندوق]],Table1[[الصندوق]:[القيمة الشهرية]],3,0),VLOOKUP(الحركات[إلى صندوق],Table1[],3,0))</f>
        <v>1500</v>
      </c>
      <c r="H11" s="22">
        <v>1500</v>
      </c>
      <c r="I11" s="22">
        <v>1500</v>
      </c>
      <c r="J11" t="s">
        <v>50</v>
      </c>
      <c r="K11" t="s">
        <v>45</v>
      </c>
      <c r="L11" s="2" t="b">
        <f ca="1">AND(الحركات[[#This Row],[مدفوع من شهر]]&lt;=VALUE(TEXT($A$2,"YYYYMM")),الحركات[[#This Row],[الحالة]]="")</f>
        <v>0</v>
      </c>
      <c r="M11" s="2" t="str">
        <f>الحركات[من صندوق]&amp;"/"&amp;الحركات[إلى صندوق]</f>
        <v>الراتب/ايجار المنزل</v>
      </c>
      <c r="N11" s="2" t="str">
        <f>VLOOKUP(الحركات[من صندوق],Table1[],2,0)</f>
        <v>دخل</v>
      </c>
      <c r="O11" s="2" t="str">
        <f>VLOOKUP(الحركات[إلى صندوق],Table1[[الصندوق]:[نوعه]],2,0)</f>
        <v>صرف</v>
      </c>
    </row>
    <row r="12" spans="1:15" x14ac:dyDescent="0.3">
      <c r="A12">
        <v>201801</v>
      </c>
      <c r="B12" s="3"/>
      <c r="C12" t="s">
        <v>18</v>
      </c>
      <c r="D12" s="15">
        <f>VLOOKUP(الحركات[[#This Row],[من صندوق]],Table5[],5,0)</f>
        <v>225</v>
      </c>
      <c r="E12" t="s">
        <v>0</v>
      </c>
      <c r="F12" s="15">
        <f>VLOOKUP(الحركات[[#This Row],[إلى صندوق]],Table5[[الصندوق]:[الرصيد الفعلي]],5,0)</f>
        <v>0</v>
      </c>
      <c r="G12" s="15">
        <f>IF(VLOOKUP(الحركات[إلى صندوق],Table1[],3,0)=0,VLOOKUP(الحركات[[#This Row],[من صندوق]],Table1[[الصندوق]:[القيمة الشهرية]],3,0),VLOOKUP(الحركات[إلى صندوق],Table1[],3,0))</f>
        <v>500</v>
      </c>
      <c r="H12" s="22">
        <v>500</v>
      </c>
      <c r="I12" s="22">
        <v>500</v>
      </c>
      <c r="J12" t="s">
        <v>51</v>
      </c>
      <c r="K12" t="s">
        <v>45</v>
      </c>
      <c r="L12" s="2" t="b">
        <f ca="1">AND(الحركات[[#This Row],[مدفوع من شهر]]&lt;=VALUE(TEXT($A$2,"YYYYMM")),الحركات[[#This Row],[الحالة]]="")</f>
        <v>0</v>
      </c>
      <c r="M12" s="2" t="str">
        <f>الحركات[من صندوق]&amp;"/"&amp;الحركات[إلى صندوق]</f>
        <v>الراتب/توفير</v>
      </c>
      <c r="N12" s="2" t="str">
        <f>VLOOKUP(الحركات[من صندوق],Table1[],2,0)</f>
        <v>دخل</v>
      </c>
      <c r="O12" s="2" t="str">
        <f>VLOOKUP(الحركات[إلى صندوق],Table1[[الصندوق]:[نوعه]],2,0)</f>
        <v>صرف</v>
      </c>
    </row>
    <row r="13" spans="1:15" x14ac:dyDescent="0.3">
      <c r="A13">
        <v>201801</v>
      </c>
      <c r="B13" s="3"/>
      <c r="C13" t="s">
        <v>18</v>
      </c>
      <c r="D13" s="15">
        <f>VLOOKUP(الحركات[[#This Row],[من صندوق]],Table5[],5,0)</f>
        <v>225</v>
      </c>
      <c r="E13" t="s">
        <v>12</v>
      </c>
      <c r="F13" s="15">
        <f>VLOOKUP(الحركات[[#This Row],[إلى صندوق]],Table5[[الصندوق]:[الرصيد الفعلي]],5,0)</f>
        <v>400</v>
      </c>
      <c r="G13" s="15">
        <f>IF(VLOOKUP(الحركات[إلى صندوق],Table1[],3,0)=0,VLOOKUP(الحركات[[#This Row],[من صندوق]],Table1[[الصندوق]:[القيمة الشهرية]],3,0),VLOOKUP(الحركات[إلى صندوق],Table1[],3,0))</f>
        <v>400</v>
      </c>
      <c r="H13" s="22">
        <v>400</v>
      </c>
      <c r="I13" s="22">
        <v>400</v>
      </c>
      <c r="J13" t="s">
        <v>52</v>
      </c>
      <c r="K13" t="s">
        <v>45</v>
      </c>
      <c r="L13" s="2" t="b">
        <f ca="1">AND(الحركات[[#This Row],[مدفوع من شهر]]&lt;=VALUE(TEXT($A$2,"YYYYMM")),الحركات[[#This Row],[الحالة]]="")</f>
        <v>0</v>
      </c>
      <c r="M13" s="2" t="str">
        <f>الحركات[من صندوق]&amp;"/"&amp;الحركات[إلى صندوق]</f>
        <v>الراتب/اجازات</v>
      </c>
      <c r="N13" s="2" t="str">
        <f>VLOOKUP(الحركات[من صندوق],Table1[],2,0)</f>
        <v>دخل</v>
      </c>
      <c r="O13" s="2" t="str">
        <f>VLOOKUP(الحركات[إلى صندوق],Table1[[الصندوق]:[نوعه]],2,0)</f>
        <v>صرف</v>
      </c>
    </row>
    <row r="14" spans="1:15" x14ac:dyDescent="0.3">
      <c r="A14">
        <v>201801</v>
      </c>
      <c r="B14" s="3"/>
      <c r="C14" t="s">
        <v>18</v>
      </c>
      <c r="D14" s="15">
        <f>VLOOKUP(الحركات[[#This Row],[من صندوق]],Table5[],5,0)</f>
        <v>225</v>
      </c>
      <c r="E14" t="s">
        <v>9</v>
      </c>
      <c r="F14" s="15">
        <f>VLOOKUP(الحركات[[#This Row],[إلى صندوق]],Table5[[الصندوق]:[الرصيد الفعلي]],5,0)</f>
        <v>200</v>
      </c>
      <c r="G14" s="15">
        <f>IF(VLOOKUP(الحركات[إلى صندوق],Table1[],3,0)=0,VLOOKUP(الحركات[[#This Row],[من صندوق]],Table1[[الصندوق]:[القيمة الشهرية]],3,0),VLOOKUP(الحركات[إلى صندوق],Table1[],3,0))</f>
        <v>200</v>
      </c>
      <c r="H14" s="22">
        <v>200</v>
      </c>
      <c r="I14" s="22">
        <v>200</v>
      </c>
      <c r="J14" t="s">
        <v>53</v>
      </c>
      <c r="K14" t="s">
        <v>45</v>
      </c>
      <c r="L14" s="2" t="b">
        <f ca="1">AND(الحركات[[#This Row],[مدفوع من شهر]]&lt;=VALUE(TEXT($A$2,"YYYYMM")),الحركات[[#This Row],[الحالة]]="")</f>
        <v>0</v>
      </c>
      <c r="M14" s="2" t="str">
        <f>الحركات[من صندوق]&amp;"/"&amp;الحركات[إلى صندوق]</f>
        <v>الراتب/دورات</v>
      </c>
      <c r="N14" s="2" t="str">
        <f>VLOOKUP(الحركات[من صندوق],Table1[],2,0)</f>
        <v>دخل</v>
      </c>
      <c r="O14" s="2" t="str">
        <f>VLOOKUP(الحركات[إلى صندوق],Table1[[الصندوق]:[نوعه]],2,0)</f>
        <v>صرف</v>
      </c>
    </row>
    <row r="15" spans="1:15" x14ac:dyDescent="0.3">
      <c r="A15">
        <v>201801</v>
      </c>
      <c r="B15" s="3"/>
      <c r="C15" t="s">
        <v>18</v>
      </c>
      <c r="D15" s="15">
        <f>VLOOKUP(الحركات[[#This Row],[من صندوق]],Table5[],5,0)</f>
        <v>225</v>
      </c>
      <c r="E15" t="s">
        <v>22</v>
      </c>
      <c r="F15" s="15">
        <f>VLOOKUP(الحركات[[#This Row],[إلى صندوق]],Table5[[الصندوق]:[الرصيد الفعلي]],5,0)</f>
        <v>200</v>
      </c>
      <c r="G15" s="15">
        <f>IF(VLOOKUP(الحركات[إلى صندوق],Table1[],3,0)=0,VLOOKUP(الحركات[[#This Row],[من صندوق]],Table1[[الصندوق]:[القيمة الشهرية]],3,0),VLOOKUP(الحركات[إلى صندوق],Table1[],3,0))</f>
        <v>200</v>
      </c>
      <c r="H15" s="22">
        <v>200</v>
      </c>
      <c r="I15" s="22">
        <v>200</v>
      </c>
      <c r="J15" t="s">
        <v>54</v>
      </c>
      <c r="K15" t="s">
        <v>45</v>
      </c>
      <c r="L15" s="2" t="b">
        <f ca="1">AND(الحركات[[#This Row],[مدفوع من شهر]]&lt;=VALUE(TEXT($A$2,"YYYYMM")),الحركات[[#This Row],[الحالة]]="")</f>
        <v>0</v>
      </c>
      <c r="M15" s="2" t="str">
        <f>الحركات[من صندوق]&amp;"/"&amp;الحركات[إلى صندوق]</f>
        <v>الراتب/زكاة</v>
      </c>
      <c r="N15" s="2" t="str">
        <f>VLOOKUP(الحركات[من صندوق],Table1[],2,0)</f>
        <v>دخل</v>
      </c>
      <c r="O15" s="2" t="str">
        <f>VLOOKUP(الحركات[إلى صندوق],Table1[[الصندوق]:[نوعه]],2,0)</f>
        <v>صرف</v>
      </c>
    </row>
    <row r="16" spans="1:15" x14ac:dyDescent="0.3">
      <c r="A16">
        <v>201801</v>
      </c>
      <c r="B16" s="3"/>
      <c r="C16" t="s">
        <v>18</v>
      </c>
      <c r="D16" s="15">
        <f>VLOOKUP(الحركات[[#This Row],[من صندوق]],Table5[],5,0)</f>
        <v>225</v>
      </c>
      <c r="E16" t="s">
        <v>10</v>
      </c>
      <c r="F16" s="15">
        <f>VLOOKUP(الحركات[[#This Row],[إلى صندوق]],Table5[[الصندوق]:[الرصيد الفعلي]],5,0)</f>
        <v>250</v>
      </c>
      <c r="G16" s="15">
        <f>IF(VLOOKUP(الحركات[إلى صندوق],Table1[],3,0)=0,VLOOKUP(الحركات[[#This Row],[من صندوق]],Table1[[الصندوق]:[القيمة الشهرية]],3,0),VLOOKUP(الحركات[إلى صندوق],Table1[],3,0))</f>
        <v>250</v>
      </c>
      <c r="H16" s="22">
        <v>250</v>
      </c>
      <c r="I16" s="22">
        <v>250</v>
      </c>
      <c r="J16" t="s">
        <v>55</v>
      </c>
      <c r="K16" t="s">
        <v>45</v>
      </c>
      <c r="L16" s="2" t="b">
        <f ca="1">AND(الحركات[[#This Row],[مدفوع من شهر]]&lt;=VALUE(TEXT($A$2,"YYYYMM")),الحركات[[#This Row],[الحالة]]="")</f>
        <v>0</v>
      </c>
      <c r="M16" s="2" t="str">
        <f>الحركات[من صندوق]&amp;"/"&amp;الحركات[إلى صندوق]</f>
        <v>الراتب/صيانة السيارة</v>
      </c>
      <c r="N16" s="2" t="str">
        <f>VLOOKUP(الحركات[من صندوق],Table1[],2,0)</f>
        <v>دخل</v>
      </c>
      <c r="O16" s="2" t="str">
        <f>VLOOKUP(الحركات[إلى صندوق],Table1[[الصندوق]:[نوعه]],2,0)</f>
        <v>صرف</v>
      </c>
    </row>
    <row r="17" spans="1:15" x14ac:dyDescent="0.3">
      <c r="A17">
        <v>201801</v>
      </c>
      <c r="B17" s="3"/>
      <c r="C17" t="s">
        <v>18</v>
      </c>
      <c r="D17" s="15">
        <f>VLOOKUP(الحركات[[#This Row],[من صندوق]],Table5[],5,0)</f>
        <v>225</v>
      </c>
      <c r="E17" t="s">
        <v>15</v>
      </c>
      <c r="F17" s="15">
        <f>VLOOKUP(الحركات[[#This Row],[إلى صندوق]],Table5[[الصندوق]:[الرصيد الفعلي]],5,0)</f>
        <v>0</v>
      </c>
      <c r="G17" s="15">
        <f>IF(VLOOKUP(الحركات[إلى صندوق],Table1[],3,0)=0,VLOOKUP(الحركات[[#This Row],[من صندوق]],Table1[[الصندوق]:[القيمة الشهرية]],3,0),VLOOKUP(الحركات[إلى صندوق],Table1[],3,0))</f>
        <v>285</v>
      </c>
      <c r="H17" s="22">
        <v>285</v>
      </c>
      <c r="I17" s="22">
        <v>285</v>
      </c>
      <c r="J17" t="s">
        <v>56</v>
      </c>
      <c r="K17" t="s">
        <v>45</v>
      </c>
      <c r="L17" s="2" t="b">
        <f ca="1">AND(الحركات[[#This Row],[مدفوع من شهر]]&lt;=VALUE(TEXT($A$2,"YYYYMM")),الحركات[[#This Row],[الحالة]]="")</f>
        <v>0</v>
      </c>
      <c r="M17" s="2" t="str">
        <f>الحركات[من صندوق]&amp;"/"&amp;الحركات[إلى صندوق]</f>
        <v>الراتب/ملابس</v>
      </c>
      <c r="N17" s="2" t="str">
        <f>VLOOKUP(الحركات[من صندوق],Table1[],2,0)</f>
        <v>دخل</v>
      </c>
      <c r="O17" s="2" t="str">
        <f>VLOOKUP(الحركات[إلى صندوق],Table1[[الصندوق]:[نوعه]],2,0)</f>
        <v>صرف</v>
      </c>
    </row>
    <row r="18" spans="1:15" x14ac:dyDescent="0.3">
      <c r="A18">
        <v>201801</v>
      </c>
      <c r="B18" s="3"/>
      <c r="C18" t="s">
        <v>18</v>
      </c>
      <c r="D18" s="15">
        <f>VLOOKUP(الحركات[[#This Row],[من صندوق]],Table5[],5,0)</f>
        <v>225</v>
      </c>
      <c r="E18" t="s">
        <v>1</v>
      </c>
      <c r="F18" s="15">
        <f>VLOOKUP(الحركات[[#This Row],[إلى صندوق]],Table5[[الصندوق]:[الرصيد الفعلي]],5,0)</f>
        <v>0</v>
      </c>
      <c r="G18" s="15">
        <f>IF(VLOOKUP(الحركات[إلى صندوق],Table1[],3,0)=0,VLOOKUP(الحركات[[#This Row],[من صندوق]],Table1[[الصندوق]:[القيمة الشهرية]],3,0),VLOOKUP(الحركات[إلى صندوق],Table1[],3,0))</f>
        <v>190</v>
      </c>
      <c r="H18" s="22">
        <v>190</v>
      </c>
      <c r="I18" s="22">
        <v>190</v>
      </c>
      <c r="J18" t="s">
        <v>57</v>
      </c>
      <c r="K18" t="s">
        <v>45</v>
      </c>
      <c r="L18" s="2" t="b">
        <f ca="1">AND(الحركات[[#This Row],[مدفوع من شهر]]&lt;=VALUE(TEXT($A$2,"YYYYMM")),الحركات[[#This Row],[الحالة]]="")</f>
        <v>0</v>
      </c>
      <c r="M18" s="2" t="str">
        <f>الحركات[من صندوق]&amp;"/"&amp;الحركات[إلى صندوق]</f>
        <v>الراتب/هدايا</v>
      </c>
      <c r="N18" s="2" t="str">
        <f>VLOOKUP(الحركات[من صندوق],Table1[],2,0)</f>
        <v>دخل</v>
      </c>
      <c r="O18" s="2" t="str">
        <f>VLOOKUP(الحركات[إلى صندوق],Table1[[الصندوق]:[نوعه]],2,0)</f>
        <v>صرف</v>
      </c>
    </row>
    <row r="19" spans="1:15" x14ac:dyDescent="0.3">
      <c r="A19">
        <v>201801</v>
      </c>
      <c r="B19" s="3"/>
      <c r="C19" t="s">
        <v>18</v>
      </c>
      <c r="D19" s="15">
        <f>VLOOKUP(الحركات[[#This Row],[من صندوق]],Table5[],5,0)</f>
        <v>225</v>
      </c>
      <c r="E19" t="s">
        <v>4</v>
      </c>
      <c r="F19" s="15">
        <f>VLOOKUP(الحركات[[#This Row],[إلى صندوق]],Table5[[الصندوق]:[الرصيد الفعلي]],5,0)</f>
        <v>200</v>
      </c>
      <c r="G19" s="15">
        <f>IF(VLOOKUP(الحركات[إلى صندوق],Table1[],3,0)=0,VLOOKUP(الحركات[[#This Row],[من صندوق]],Table1[[الصندوق]:[القيمة الشهرية]],3,0),VLOOKUP(الحركات[إلى صندوق],Table1[],3,0))</f>
        <v>200</v>
      </c>
      <c r="H19" s="22">
        <v>200</v>
      </c>
      <c r="I19" s="22">
        <v>200</v>
      </c>
      <c r="J19" t="s">
        <v>58</v>
      </c>
      <c r="K19" t="s">
        <v>45</v>
      </c>
      <c r="L19" s="2" t="b">
        <f ca="1">AND(الحركات[[#This Row],[مدفوع من شهر]]&lt;=VALUE(TEXT($A$2,"YYYYMM")),الحركات[[#This Row],[الحالة]]="")</f>
        <v>0</v>
      </c>
      <c r="M19" s="2" t="str">
        <f>الحركات[من صندوق]&amp;"/"&amp;الحركات[إلى صندوق]</f>
        <v>الراتب/طوارئ</v>
      </c>
      <c r="N19" s="2" t="str">
        <f>VLOOKUP(الحركات[من صندوق],Table1[],2,0)</f>
        <v>دخل</v>
      </c>
      <c r="O19" s="2" t="str">
        <f>VLOOKUP(الحركات[إلى صندوق],Table1[[الصندوق]:[نوعه]],2,0)</f>
        <v>صرف</v>
      </c>
    </row>
    <row r="20" spans="1:15" x14ac:dyDescent="0.3">
      <c r="A20">
        <v>201801</v>
      </c>
      <c r="B20" s="3"/>
      <c r="C20" t="s">
        <v>11</v>
      </c>
      <c r="D20" s="16">
        <f>VLOOKUP(الحركات[[#This Row],[من صندوق]],Table5[],5,0)</f>
        <v>0</v>
      </c>
      <c r="E20" t="s">
        <v>14</v>
      </c>
      <c r="F20" s="16">
        <f>VLOOKUP(الحركات[[#This Row],[إلى صندوق]],Table5[[الصندوق]:[الرصيد الفعلي]],5,0)</f>
        <v>5025</v>
      </c>
      <c r="G20" s="16">
        <f>IF(VLOOKUP(الحركات[إلى صندوق],Table1[],3,0)=0,VLOOKUP(الحركات[[#This Row],[من صندوق]],Table1[[الصندوق]:[القيمة الشهرية]],3,0),VLOOKUP(الحركات[إلى صندوق],Table1[],3,0))</f>
        <v>250</v>
      </c>
      <c r="H20" s="22">
        <v>250</v>
      </c>
      <c r="I20" s="22">
        <v>250</v>
      </c>
      <c r="J20" t="s">
        <v>59</v>
      </c>
      <c r="K20" t="s">
        <v>45</v>
      </c>
      <c r="L20" s="7" t="b">
        <f ca="1">AND(الحركات[[#This Row],[مدفوع من شهر]]&lt;=VALUE(TEXT($A$2,"YYYYMM")),الحركات[[#This Row],[الحالة]]="")</f>
        <v>0</v>
      </c>
      <c r="M20" s="7" t="str">
        <f>الحركات[من صندوق]&amp;"/"&amp;الحركات[إلى صندوق]</f>
        <v>فواتير/صرف</v>
      </c>
      <c r="N20" s="7" t="str">
        <f>VLOOKUP(الحركات[من صندوق],Table1[],2,0)</f>
        <v>صرف</v>
      </c>
      <c r="O20" s="7" t="str">
        <f>VLOOKUP(الحركات[إلى صندوق],Table1[[الصندوق]:[نوعه]],2,0)</f>
        <v>خارجي</v>
      </c>
    </row>
    <row r="21" spans="1:15" x14ac:dyDescent="0.3">
      <c r="A21">
        <v>201801</v>
      </c>
      <c r="B21" s="3"/>
      <c r="C21" t="s">
        <v>13</v>
      </c>
      <c r="D21" s="16">
        <f>VLOOKUP(الحركات[[#This Row],[من صندوق]],Table5[],5,0)</f>
        <v>0</v>
      </c>
      <c r="E21" t="s">
        <v>14</v>
      </c>
      <c r="F21" s="16">
        <f>VLOOKUP(الحركات[[#This Row],[إلى صندوق]],Table5[[الصندوق]:[الرصيد الفعلي]],5,0)</f>
        <v>5025</v>
      </c>
      <c r="G21" s="16">
        <f>IF(VLOOKUP(الحركات[إلى صندوق],Table1[],3,0)=0,VLOOKUP(الحركات[[#This Row],[من صندوق]],Table1[[الصندوق]:[القيمة الشهرية]],3,0),VLOOKUP(الحركات[إلى صندوق],Table1[],3,0))</f>
        <v>3800</v>
      </c>
      <c r="H21" s="22">
        <v>3800</v>
      </c>
      <c r="I21" s="22">
        <v>3800</v>
      </c>
      <c r="J21" t="s">
        <v>60</v>
      </c>
      <c r="K21" t="s">
        <v>45</v>
      </c>
      <c r="L21" s="7" t="b">
        <f ca="1">AND(الحركات[[#This Row],[مدفوع من شهر]]&lt;=VALUE(TEXT($A$2,"YYYYMM")),الحركات[[#This Row],[الحالة]]="")</f>
        <v>0</v>
      </c>
      <c r="M21" s="7" t="str">
        <f>الحركات[من صندوق]&amp;"/"&amp;الحركات[إلى صندوق]</f>
        <v>مصاريف شهرية/صرف</v>
      </c>
      <c r="N21" s="7" t="str">
        <f>VLOOKUP(الحركات[من صندوق],Table1[],2,0)</f>
        <v>صرف</v>
      </c>
      <c r="O21" s="7" t="str">
        <f>VLOOKUP(الحركات[إلى صندوق],Table1[[الصندوق]:[نوعه]],2,0)</f>
        <v>خارجي</v>
      </c>
    </row>
    <row r="22" spans="1:15" x14ac:dyDescent="0.3">
      <c r="A22">
        <v>201801</v>
      </c>
      <c r="B22" s="3"/>
      <c r="C22" t="s">
        <v>0</v>
      </c>
      <c r="D22" s="16">
        <f>VLOOKUP(الحركات[[#This Row],[من صندوق]],Table5[],5,0)</f>
        <v>0</v>
      </c>
      <c r="E22" t="s">
        <v>14</v>
      </c>
      <c r="F22" s="16">
        <f>VLOOKUP(الحركات[[#This Row],[إلى صندوق]],Table5[[الصندوق]:[الرصيد الفعلي]],5,0)</f>
        <v>5025</v>
      </c>
      <c r="G22" s="16">
        <f>IF(VLOOKUP(الحركات[إلى صندوق],Table1[],3,0)=0,VLOOKUP(الحركات[[#This Row],[من صندوق]],Table1[[الصندوق]:[القيمة الشهرية]],3,0),VLOOKUP(الحركات[إلى صندوق],Table1[],3,0))</f>
        <v>500</v>
      </c>
      <c r="H22" s="22">
        <v>500</v>
      </c>
      <c r="I22" s="22">
        <v>500</v>
      </c>
      <c r="J22" t="s">
        <v>66</v>
      </c>
      <c r="K22" t="s">
        <v>45</v>
      </c>
      <c r="L22" s="7" t="b">
        <f ca="1">AND(الحركات[[#This Row],[مدفوع من شهر]]&lt;=VALUE(TEXT($A$2,"YYYYMM")),الحركات[[#This Row],[الحالة]]="")</f>
        <v>0</v>
      </c>
      <c r="M22" s="7" t="str">
        <f>الحركات[من صندوق]&amp;"/"&amp;الحركات[إلى صندوق]</f>
        <v>توفير/صرف</v>
      </c>
      <c r="N22" s="7" t="str">
        <f>VLOOKUP(الحركات[من صندوق],Table1[],2,0)</f>
        <v>صرف</v>
      </c>
      <c r="O22" s="7" t="str">
        <f>VLOOKUP(الحركات[إلى صندوق],Table1[[الصندوق]:[نوعه]],2,0)</f>
        <v>خارجي</v>
      </c>
    </row>
    <row r="23" spans="1:15" x14ac:dyDescent="0.3">
      <c r="A23">
        <v>201801</v>
      </c>
      <c r="B23" s="3"/>
      <c r="C23" t="s">
        <v>15</v>
      </c>
      <c r="D23" s="17">
        <f>VLOOKUP(الحركات[[#This Row],[من صندوق]],Table5[],5,0)</f>
        <v>0</v>
      </c>
      <c r="E23" t="s">
        <v>14</v>
      </c>
      <c r="F23" s="17">
        <f>VLOOKUP(الحركات[[#This Row],[إلى صندوق]],Table5[[الصندوق]:[الرصيد الفعلي]],5,0)</f>
        <v>5025</v>
      </c>
      <c r="G23" s="17">
        <f>IF(VLOOKUP(الحركات[إلى صندوق],Table1[],3,0)=0,VLOOKUP(الحركات[[#This Row],[من صندوق]],Table1[[الصندوق]:[القيمة الشهرية]],3,0),VLOOKUP(الحركات[إلى صندوق],Table1[],3,0))</f>
        <v>285</v>
      </c>
      <c r="H23" s="22">
        <v>285</v>
      </c>
      <c r="I23" s="22">
        <v>285</v>
      </c>
      <c r="J23" t="s">
        <v>71</v>
      </c>
      <c r="K23" t="s">
        <v>45</v>
      </c>
      <c r="L23" s="8" t="b">
        <f ca="1">AND(الحركات[[#This Row],[مدفوع من شهر]]&lt;=VALUE(TEXT($A$2,"YYYYMM")),الحركات[[#This Row],[الحالة]]="")</f>
        <v>0</v>
      </c>
      <c r="M23" s="8" t="str">
        <f>الحركات[من صندوق]&amp;"/"&amp;الحركات[إلى صندوق]</f>
        <v>ملابس/صرف</v>
      </c>
      <c r="N23" s="8" t="str">
        <f>VLOOKUP(الحركات[من صندوق],Table1[],2,0)</f>
        <v>صرف</v>
      </c>
      <c r="O23" s="8" t="str">
        <f>VLOOKUP(الحركات[إلى صندوق],Table1[[الصندوق]:[نوعه]],2,0)</f>
        <v>خارجي</v>
      </c>
    </row>
    <row r="24" spans="1:15" x14ac:dyDescent="0.3">
      <c r="A24">
        <v>201801</v>
      </c>
      <c r="B24" s="3"/>
      <c r="C24" t="s">
        <v>1</v>
      </c>
      <c r="D24" s="17">
        <f>VLOOKUP(الحركات[[#This Row],[من صندوق]],Table5[],5,0)</f>
        <v>0</v>
      </c>
      <c r="E24" t="s">
        <v>14</v>
      </c>
      <c r="F24" s="17">
        <f>VLOOKUP(الحركات[[#This Row],[إلى صندوق]],Table5[[الصندوق]:[الرصيد الفعلي]],5,0)</f>
        <v>5025</v>
      </c>
      <c r="G24" s="17">
        <f>IF(VLOOKUP(الحركات[إلى صندوق],Table1[],3,0)=0,VLOOKUP(الحركات[[#This Row],[من صندوق]],Table1[[الصندوق]:[القيمة الشهرية]],3,0),VLOOKUP(الحركات[إلى صندوق],Table1[],3,0))</f>
        <v>190</v>
      </c>
      <c r="H24" s="22">
        <v>190</v>
      </c>
      <c r="I24" s="22">
        <v>190</v>
      </c>
      <c r="J24" t="s">
        <v>72</v>
      </c>
      <c r="K24" t="s">
        <v>45</v>
      </c>
      <c r="L24" s="8" t="b">
        <f ca="1">AND(الحركات[[#This Row],[مدفوع من شهر]]&lt;=VALUE(TEXT($A$2,"YYYYMM")),الحركات[[#This Row],[الحالة]]="")</f>
        <v>0</v>
      </c>
      <c r="M24" s="8" t="str">
        <f>الحركات[من صندوق]&amp;"/"&amp;الحركات[إلى صندوق]</f>
        <v>هدايا/صرف</v>
      </c>
      <c r="N24" s="8" t="str">
        <f>VLOOKUP(الحركات[من صندوق],Table1[],2,0)</f>
        <v>صرف</v>
      </c>
      <c r="O24" s="8" t="str">
        <f>VLOOKUP(الحركات[إلى صندوق],Table1[[الصندوق]:[نوعه]],2,0)</f>
        <v>خارجي</v>
      </c>
    </row>
    <row r="25" spans="1:15" x14ac:dyDescent="0.3">
      <c r="A25">
        <v>201802</v>
      </c>
      <c r="B25" s="3"/>
      <c r="C25" t="s">
        <v>20</v>
      </c>
      <c r="D25" s="15">
        <f>VLOOKUP(الحركات[[#This Row],[من صندوق]],Table5[],5,0)</f>
        <v>-10000</v>
      </c>
      <c r="E25" t="s">
        <v>18</v>
      </c>
      <c r="F25" s="15">
        <f>VLOOKUP(الحركات[[#This Row],[إلى صندوق]],Table5[[الصندوق]:[الرصيد الفعلي]],5,0)</f>
        <v>225</v>
      </c>
      <c r="G25" s="15">
        <f>IF(VLOOKUP(الحركات[إلى صندوق],Table1[],3,0)=0,VLOOKUP(الحركات[[#This Row],[من صندوق]],Table1[[الصندوق]:[القيمة الشهرية]],3,0),VLOOKUP(الحركات[إلى صندوق],Table1[],3,0))</f>
        <v>10000</v>
      </c>
      <c r="H25" s="22">
        <v>10000</v>
      </c>
      <c r="I25" s="22"/>
      <c r="J25" t="s">
        <v>40</v>
      </c>
      <c r="L25" s="2" t="b">
        <f ca="1">AND(الحركات[[#This Row],[مدفوع من شهر]]&lt;=VALUE(TEXT($A$2,"YYYYMM")),الحركات[[#This Row],[الحالة]]="")</f>
        <v>1</v>
      </c>
      <c r="M25" s="2" t="str">
        <f>الحركات[من صندوق]&amp;"/"&amp;الحركات[إلى صندوق]</f>
        <v>الشركة/الراتب</v>
      </c>
      <c r="N25" s="2" t="str">
        <f>VLOOKUP(الحركات[من صندوق],Table1[],2,0)</f>
        <v>خارجي</v>
      </c>
      <c r="O25" s="2" t="str">
        <f>VLOOKUP(الحركات[إلى صندوق],Table1[[الصندوق]:[نوعه]],2,0)</f>
        <v>دخل</v>
      </c>
    </row>
    <row r="26" spans="1:15" x14ac:dyDescent="0.3">
      <c r="A26">
        <v>201802</v>
      </c>
      <c r="B26" s="3"/>
      <c r="C26" t="s">
        <v>18</v>
      </c>
      <c r="D26" s="15">
        <f>VLOOKUP(الحركات[[#This Row],[من صندوق]],Table5[],5,0)</f>
        <v>225</v>
      </c>
      <c r="E26" t="s">
        <v>11</v>
      </c>
      <c r="F26" s="15">
        <f>VLOOKUP(الحركات[[#This Row],[إلى صندوق]],Table5[[الصندوق]:[الرصيد الفعلي]],5,0)</f>
        <v>0</v>
      </c>
      <c r="G26" s="15">
        <f>IF(VLOOKUP(الحركات[إلى صندوق],Table1[],3,0)=0,VLOOKUP(الحركات[[#This Row],[من صندوق]],Table1[[الصندوق]:[القيمة الشهرية]],3,0),VLOOKUP(الحركات[إلى صندوق],Table1[],3,0))</f>
        <v>250</v>
      </c>
      <c r="H26" s="22">
        <v>250</v>
      </c>
      <c r="I26" s="22"/>
      <c r="J26" t="s">
        <v>47</v>
      </c>
      <c r="L26" s="2" t="b">
        <f ca="1">AND(الحركات[[#This Row],[مدفوع من شهر]]&lt;=VALUE(TEXT($A$2,"YYYYMM")),الحركات[[#This Row],[الحالة]]="")</f>
        <v>1</v>
      </c>
      <c r="M26" s="2" t="str">
        <f>الحركات[من صندوق]&amp;"/"&amp;الحركات[إلى صندوق]</f>
        <v>الراتب/فواتير</v>
      </c>
      <c r="N26" s="2" t="str">
        <f>VLOOKUP(الحركات[من صندوق],Table1[],2,0)</f>
        <v>دخل</v>
      </c>
      <c r="O26" s="2" t="str">
        <f>VLOOKUP(الحركات[إلى صندوق],Table1[[الصندوق]:[نوعه]],2,0)</f>
        <v>صرف</v>
      </c>
    </row>
    <row r="27" spans="1:15" x14ac:dyDescent="0.3">
      <c r="A27">
        <v>201802</v>
      </c>
      <c r="B27" s="3"/>
      <c r="C27" t="s">
        <v>18</v>
      </c>
      <c r="D27" s="15">
        <f>VLOOKUP(الحركات[[#This Row],[من صندوق]],Table5[],5,0)</f>
        <v>225</v>
      </c>
      <c r="E27" t="s">
        <v>13</v>
      </c>
      <c r="F27" s="15">
        <f>VLOOKUP(الحركات[[#This Row],[إلى صندوق]],Table5[[الصندوق]:[الرصيد الفعلي]],5,0)</f>
        <v>0</v>
      </c>
      <c r="G27" s="15">
        <f>IF(VLOOKUP(الحركات[إلى صندوق],Table1[],3,0)=0,VLOOKUP(الحركات[[#This Row],[من صندوق]],Table1[[الصندوق]:[القيمة الشهرية]],3,0),VLOOKUP(الحركات[إلى صندوق],Table1[],3,0))</f>
        <v>3800</v>
      </c>
      <c r="H27" s="22">
        <v>3800</v>
      </c>
      <c r="I27" s="22"/>
      <c r="J27" t="s">
        <v>48</v>
      </c>
      <c r="L27" s="2" t="b">
        <f ca="1">AND(الحركات[[#This Row],[مدفوع من شهر]]&lt;=VALUE(TEXT($A$2,"YYYYMM")),الحركات[[#This Row],[الحالة]]="")</f>
        <v>1</v>
      </c>
      <c r="M27" s="2" t="str">
        <f>الحركات[من صندوق]&amp;"/"&amp;الحركات[إلى صندوق]</f>
        <v>الراتب/مصاريف شهرية</v>
      </c>
      <c r="N27" s="2" t="str">
        <f>VLOOKUP(الحركات[من صندوق],Table1[],2,0)</f>
        <v>دخل</v>
      </c>
      <c r="O27" s="2" t="str">
        <f>VLOOKUP(الحركات[إلى صندوق],Table1[[الصندوق]:[نوعه]],2,0)</f>
        <v>صرف</v>
      </c>
    </row>
    <row r="28" spans="1:15" x14ac:dyDescent="0.3">
      <c r="A28">
        <v>201802</v>
      </c>
      <c r="B28" s="3"/>
      <c r="C28" t="s">
        <v>18</v>
      </c>
      <c r="D28" s="15">
        <f>VLOOKUP(الحركات[[#This Row],[من صندوق]],Table5[],5,0)</f>
        <v>225</v>
      </c>
      <c r="E28" t="s">
        <v>3</v>
      </c>
      <c r="F28" s="15">
        <f>VLOOKUP(الحركات[[#This Row],[إلى صندوق]],Table5[[الصندوق]:[الرصيد الفعلي]],5,0)</f>
        <v>2000</v>
      </c>
      <c r="G28" s="15">
        <f>IF(VLOOKUP(الحركات[إلى صندوق],Table1[],3,0)=0,VLOOKUP(الحركات[[#This Row],[من صندوق]],Table1[[الصندوق]:[القيمة الشهرية]],3,0),VLOOKUP(الحركات[إلى صندوق],Table1[],3,0))</f>
        <v>2000</v>
      </c>
      <c r="H28" s="22">
        <v>2000</v>
      </c>
      <c r="I28" s="22"/>
      <c r="J28" t="s">
        <v>49</v>
      </c>
      <c r="L28" s="2" t="b">
        <f ca="1">AND(الحركات[[#This Row],[مدفوع من شهر]]&lt;=VALUE(TEXT($A$2,"YYYYMM")),الحركات[[#This Row],[الحالة]]="")</f>
        <v>1</v>
      </c>
      <c r="M28" s="2" t="str">
        <f>الحركات[من صندوق]&amp;"/"&amp;الحركات[إلى صندوق]</f>
        <v>الراتب/مدارس</v>
      </c>
      <c r="N28" s="2" t="str">
        <f>VLOOKUP(الحركات[من صندوق],Table1[],2,0)</f>
        <v>دخل</v>
      </c>
      <c r="O28" s="2" t="str">
        <f>VLOOKUP(الحركات[إلى صندوق],Table1[[الصندوق]:[نوعه]],2,0)</f>
        <v>صرف</v>
      </c>
    </row>
    <row r="29" spans="1:15" x14ac:dyDescent="0.3">
      <c r="A29">
        <v>201802</v>
      </c>
      <c r="B29" s="3"/>
      <c r="C29" t="s">
        <v>18</v>
      </c>
      <c r="D29" s="15">
        <f>VLOOKUP(الحركات[[#This Row],[من صندوق]],Table5[],5,0)</f>
        <v>225</v>
      </c>
      <c r="E29" t="s">
        <v>21</v>
      </c>
      <c r="F29" s="15">
        <f>VLOOKUP(الحركات[[#This Row],[إلى صندوق]],Table5[[الصندوق]:[الرصيد الفعلي]],5,0)</f>
        <v>1500</v>
      </c>
      <c r="G29" s="15">
        <f>IF(VLOOKUP(الحركات[إلى صندوق],Table1[],3,0)=0,VLOOKUP(الحركات[[#This Row],[من صندوق]],Table1[[الصندوق]:[القيمة الشهرية]],3,0),VLOOKUP(الحركات[إلى صندوق],Table1[],3,0))</f>
        <v>1500</v>
      </c>
      <c r="H29" s="22">
        <v>1500</v>
      </c>
      <c r="I29" s="22"/>
      <c r="J29" t="s">
        <v>50</v>
      </c>
      <c r="L29" s="2" t="b">
        <f ca="1">AND(الحركات[[#This Row],[مدفوع من شهر]]&lt;=VALUE(TEXT($A$2,"YYYYMM")),الحركات[[#This Row],[الحالة]]="")</f>
        <v>1</v>
      </c>
      <c r="M29" s="2" t="str">
        <f>الحركات[من صندوق]&amp;"/"&amp;الحركات[إلى صندوق]</f>
        <v>الراتب/ايجار المنزل</v>
      </c>
      <c r="N29" s="2" t="str">
        <f>VLOOKUP(الحركات[من صندوق],Table1[],2,0)</f>
        <v>دخل</v>
      </c>
      <c r="O29" s="2" t="str">
        <f>VLOOKUP(الحركات[إلى صندوق],Table1[[الصندوق]:[نوعه]],2,0)</f>
        <v>صرف</v>
      </c>
    </row>
    <row r="30" spans="1:15" x14ac:dyDescent="0.3">
      <c r="A30">
        <v>201802</v>
      </c>
      <c r="B30" s="3"/>
      <c r="C30" t="s">
        <v>18</v>
      </c>
      <c r="D30" s="15">
        <f>VLOOKUP(الحركات[[#This Row],[من صندوق]],Table5[],5,0)</f>
        <v>225</v>
      </c>
      <c r="E30" t="s">
        <v>0</v>
      </c>
      <c r="F30" s="15">
        <f>VLOOKUP(الحركات[[#This Row],[إلى صندوق]],Table5[[الصندوق]:[الرصيد الفعلي]],5,0)</f>
        <v>0</v>
      </c>
      <c r="G30" s="15">
        <f>IF(VLOOKUP(الحركات[إلى صندوق],Table1[],3,0)=0,VLOOKUP(الحركات[[#This Row],[من صندوق]],Table1[[الصندوق]:[القيمة الشهرية]],3,0),VLOOKUP(الحركات[إلى صندوق],Table1[],3,0))</f>
        <v>500</v>
      </c>
      <c r="H30" s="22">
        <v>500</v>
      </c>
      <c r="I30" s="22"/>
      <c r="J30" t="s">
        <v>51</v>
      </c>
      <c r="L30" s="2" t="b">
        <f ca="1">AND(الحركات[[#This Row],[مدفوع من شهر]]&lt;=VALUE(TEXT($A$2,"YYYYMM")),الحركات[[#This Row],[الحالة]]="")</f>
        <v>1</v>
      </c>
      <c r="M30" s="2" t="str">
        <f>الحركات[من صندوق]&amp;"/"&amp;الحركات[إلى صندوق]</f>
        <v>الراتب/توفير</v>
      </c>
      <c r="N30" s="2" t="str">
        <f>VLOOKUP(الحركات[من صندوق],Table1[],2,0)</f>
        <v>دخل</v>
      </c>
      <c r="O30" s="2" t="str">
        <f>VLOOKUP(الحركات[إلى صندوق],Table1[[الصندوق]:[نوعه]],2,0)</f>
        <v>صرف</v>
      </c>
    </row>
    <row r="31" spans="1:15" x14ac:dyDescent="0.3">
      <c r="A31">
        <v>201802</v>
      </c>
      <c r="B31" s="3"/>
      <c r="C31" t="s">
        <v>18</v>
      </c>
      <c r="D31" s="15">
        <f>VLOOKUP(الحركات[[#This Row],[من صندوق]],Table5[],5,0)</f>
        <v>225</v>
      </c>
      <c r="E31" t="s">
        <v>12</v>
      </c>
      <c r="F31" s="15">
        <f>VLOOKUP(الحركات[[#This Row],[إلى صندوق]],Table5[[الصندوق]:[الرصيد الفعلي]],5,0)</f>
        <v>400</v>
      </c>
      <c r="G31" s="15">
        <f>IF(VLOOKUP(الحركات[إلى صندوق],Table1[],3,0)=0,VLOOKUP(الحركات[[#This Row],[من صندوق]],Table1[[الصندوق]:[القيمة الشهرية]],3,0),VLOOKUP(الحركات[إلى صندوق],Table1[],3,0))</f>
        <v>400</v>
      </c>
      <c r="H31" s="22">
        <v>400</v>
      </c>
      <c r="I31" s="22"/>
      <c r="J31" t="s">
        <v>52</v>
      </c>
      <c r="L31" s="2" t="b">
        <f ca="1">AND(الحركات[[#This Row],[مدفوع من شهر]]&lt;=VALUE(TEXT($A$2,"YYYYMM")),الحركات[[#This Row],[الحالة]]="")</f>
        <v>1</v>
      </c>
      <c r="M31" s="2" t="str">
        <f>الحركات[من صندوق]&amp;"/"&amp;الحركات[إلى صندوق]</f>
        <v>الراتب/اجازات</v>
      </c>
      <c r="N31" s="2" t="str">
        <f>VLOOKUP(الحركات[من صندوق],Table1[],2,0)</f>
        <v>دخل</v>
      </c>
      <c r="O31" s="2" t="str">
        <f>VLOOKUP(الحركات[إلى صندوق],Table1[[الصندوق]:[نوعه]],2,0)</f>
        <v>صرف</v>
      </c>
    </row>
    <row r="32" spans="1:15" x14ac:dyDescent="0.3">
      <c r="A32">
        <v>201802</v>
      </c>
      <c r="B32" s="3"/>
      <c r="C32" t="s">
        <v>18</v>
      </c>
      <c r="D32" s="15">
        <f>VLOOKUP(الحركات[[#This Row],[من صندوق]],Table5[],5,0)</f>
        <v>225</v>
      </c>
      <c r="E32" t="s">
        <v>9</v>
      </c>
      <c r="F32" s="15">
        <f>VLOOKUP(الحركات[[#This Row],[إلى صندوق]],Table5[[الصندوق]:[الرصيد الفعلي]],5,0)</f>
        <v>200</v>
      </c>
      <c r="G32" s="15">
        <f>IF(VLOOKUP(الحركات[إلى صندوق],Table1[],3,0)=0,VLOOKUP(الحركات[[#This Row],[من صندوق]],Table1[[الصندوق]:[القيمة الشهرية]],3,0),VLOOKUP(الحركات[إلى صندوق],Table1[],3,0))</f>
        <v>200</v>
      </c>
      <c r="H32" s="22">
        <v>200</v>
      </c>
      <c r="I32" s="22"/>
      <c r="J32" t="s">
        <v>53</v>
      </c>
      <c r="L32" s="2" t="b">
        <f ca="1">AND(الحركات[[#This Row],[مدفوع من شهر]]&lt;=VALUE(TEXT($A$2,"YYYYMM")),الحركات[[#This Row],[الحالة]]="")</f>
        <v>1</v>
      </c>
      <c r="M32" s="2" t="str">
        <f>الحركات[من صندوق]&amp;"/"&amp;الحركات[إلى صندوق]</f>
        <v>الراتب/دورات</v>
      </c>
      <c r="N32" s="2" t="str">
        <f>VLOOKUP(الحركات[من صندوق],Table1[],2,0)</f>
        <v>دخل</v>
      </c>
      <c r="O32" s="2" t="str">
        <f>VLOOKUP(الحركات[إلى صندوق],Table1[[الصندوق]:[نوعه]],2,0)</f>
        <v>صرف</v>
      </c>
    </row>
    <row r="33" spans="1:15" x14ac:dyDescent="0.3">
      <c r="A33">
        <v>201802</v>
      </c>
      <c r="B33" s="3"/>
      <c r="C33" t="s">
        <v>18</v>
      </c>
      <c r="D33" s="15">
        <f>VLOOKUP(الحركات[[#This Row],[من صندوق]],Table5[],5,0)</f>
        <v>225</v>
      </c>
      <c r="E33" t="s">
        <v>22</v>
      </c>
      <c r="F33" s="15">
        <f>VLOOKUP(الحركات[[#This Row],[إلى صندوق]],Table5[[الصندوق]:[الرصيد الفعلي]],5,0)</f>
        <v>200</v>
      </c>
      <c r="G33" s="15">
        <f>IF(VLOOKUP(الحركات[إلى صندوق],Table1[],3,0)=0,VLOOKUP(الحركات[[#This Row],[من صندوق]],Table1[[الصندوق]:[القيمة الشهرية]],3,0),VLOOKUP(الحركات[إلى صندوق],Table1[],3,0))</f>
        <v>200</v>
      </c>
      <c r="H33" s="22">
        <v>200</v>
      </c>
      <c r="I33" s="22"/>
      <c r="J33" t="s">
        <v>54</v>
      </c>
      <c r="L33" s="2" t="b">
        <f ca="1">AND(الحركات[[#This Row],[مدفوع من شهر]]&lt;=VALUE(TEXT($A$2,"YYYYMM")),الحركات[[#This Row],[الحالة]]="")</f>
        <v>1</v>
      </c>
      <c r="M33" s="2" t="str">
        <f>الحركات[من صندوق]&amp;"/"&amp;الحركات[إلى صندوق]</f>
        <v>الراتب/زكاة</v>
      </c>
      <c r="N33" s="2" t="str">
        <f>VLOOKUP(الحركات[من صندوق],Table1[],2,0)</f>
        <v>دخل</v>
      </c>
      <c r="O33" s="2" t="str">
        <f>VLOOKUP(الحركات[إلى صندوق],Table1[[الصندوق]:[نوعه]],2,0)</f>
        <v>صرف</v>
      </c>
    </row>
    <row r="34" spans="1:15" x14ac:dyDescent="0.3">
      <c r="A34">
        <v>201802</v>
      </c>
      <c r="B34" s="3"/>
      <c r="C34" t="s">
        <v>18</v>
      </c>
      <c r="D34" s="15">
        <f>VLOOKUP(الحركات[[#This Row],[من صندوق]],Table5[],5,0)</f>
        <v>225</v>
      </c>
      <c r="E34" t="s">
        <v>10</v>
      </c>
      <c r="F34" s="15">
        <f>VLOOKUP(الحركات[[#This Row],[إلى صندوق]],Table5[[الصندوق]:[الرصيد الفعلي]],5,0)</f>
        <v>250</v>
      </c>
      <c r="G34" s="15">
        <f>IF(VLOOKUP(الحركات[إلى صندوق],Table1[],3,0)=0,VLOOKUP(الحركات[[#This Row],[من صندوق]],Table1[[الصندوق]:[القيمة الشهرية]],3,0),VLOOKUP(الحركات[إلى صندوق],Table1[],3,0))</f>
        <v>250</v>
      </c>
      <c r="H34" s="22">
        <v>250</v>
      </c>
      <c r="I34" s="22"/>
      <c r="J34" t="s">
        <v>55</v>
      </c>
      <c r="L34" s="2" t="b">
        <f ca="1">AND(الحركات[[#This Row],[مدفوع من شهر]]&lt;=VALUE(TEXT($A$2,"YYYYMM")),الحركات[[#This Row],[الحالة]]="")</f>
        <v>1</v>
      </c>
      <c r="M34" s="2" t="str">
        <f>الحركات[من صندوق]&amp;"/"&amp;الحركات[إلى صندوق]</f>
        <v>الراتب/صيانة السيارة</v>
      </c>
      <c r="N34" s="2" t="str">
        <f>VLOOKUP(الحركات[من صندوق],Table1[],2,0)</f>
        <v>دخل</v>
      </c>
      <c r="O34" s="2" t="str">
        <f>VLOOKUP(الحركات[إلى صندوق],Table1[[الصندوق]:[نوعه]],2,0)</f>
        <v>صرف</v>
      </c>
    </row>
    <row r="35" spans="1:15" x14ac:dyDescent="0.3">
      <c r="A35">
        <v>201802</v>
      </c>
      <c r="B35" s="3"/>
      <c r="C35" t="s">
        <v>18</v>
      </c>
      <c r="D35" s="15">
        <f>VLOOKUP(الحركات[[#This Row],[من صندوق]],Table5[],5,0)</f>
        <v>225</v>
      </c>
      <c r="E35" t="s">
        <v>15</v>
      </c>
      <c r="F35" s="15">
        <f>VLOOKUP(الحركات[[#This Row],[إلى صندوق]],Table5[[الصندوق]:[الرصيد الفعلي]],5,0)</f>
        <v>0</v>
      </c>
      <c r="G35" s="15">
        <f>IF(VLOOKUP(الحركات[إلى صندوق],Table1[],3,0)=0,VLOOKUP(الحركات[[#This Row],[من صندوق]],Table1[[الصندوق]:[القيمة الشهرية]],3,0),VLOOKUP(الحركات[إلى صندوق],Table1[],3,0))</f>
        <v>285</v>
      </c>
      <c r="H35" s="22">
        <v>285</v>
      </c>
      <c r="I35" s="22"/>
      <c r="J35" t="s">
        <v>56</v>
      </c>
      <c r="L35" s="2" t="b">
        <f ca="1">AND(الحركات[[#This Row],[مدفوع من شهر]]&lt;=VALUE(TEXT($A$2,"YYYYMM")),الحركات[[#This Row],[الحالة]]="")</f>
        <v>1</v>
      </c>
      <c r="M35" s="2" t="str">
        <f>الحركات[من صندوق]&amp;"/"&amp;الحركات[إلى صندوق]</f>
        <v>الراتب/ملابس</v>
      </c>
      <c r="N35" s="2" t="str">
        <f>VLOOKUP(الحركات[من صندوق],Table1[],2,0)</f>
        <v>دخل</v>
      </c>
      <c r="O35" s="2" t="str">
        <f>VLOOKUP(الحركات[إلى صندوق],Table1[[الصندوق]:[نوعه]],2,0)</f>
        <v>صرف</v>
      </c>
    </row>
    <row r="36" spans="1:15" x14ac:dyDescent="0.3">
      <c r="A36">
        <v>201802</v>
      </c>
      <c r="B36" s="3"/>
      <c r="C36" t="s">
        <v>18</v>
      </c>
      <c r="D36" s="15">
        <f>VLOOKUP(الحركات[[#This Row],[من صندوق]],Table5[],5,0)</f>
        <v>225</v>
      </c>
      <c r="E36" t="s">
        <v>1</v>
      </c>
      <c r="F36" s="15">
        <f>VLOOKUP(الحركات[[#This Row],[إلى صندوق]],Table5[[الصندوق]:[الرصيد الفعلي]],5,0)</f>
        <v>0</v>
      </c>
      <c r="G36" s="15">
        <f>IF(VLOOKUP(الحركات[إلى صندوق],Table1[],3,0)=0,VLOOKUP(الحركات[[#This Row],[من صندوق]],Table1[[الصندوق]:[القيمة الشهرية]],3,0),VLOOKUP(الحركات[إلى صندوق],Table1[],3,0))</f>
        <v>190</v>
      </c>
      <c r="H36" s="22">
        <v>190</v>
      </c>
      <c r="I36" s="22"/>
      <c r="J36" t="s">
        <v>57</v>
      </c>
      <c r="L36" s="2" t="b">
        <f ca="1">AND(الحركات[[#This Row],[مدفوع من شهر]]&lt;=VALUE(TEXT($A$2,"YYYYMM")),الحركات[[#This Row],[الحالة]]="")</f>
        <v>1</v>
      </c>
      <c r="M36" s="2" t="str">
        <f>الحركات[من صندوق]&amp;"/"&amp;الحركات[إلى صندوق]</f>
        <v>الراتب/هدايا</v>
      </c>
      <c r="N36" s="2" t="str">
        <f>VLOOKUP(الحركات[من صندوق],Table1[],2,0)</f>
        <v>دخل</v>
      </c>
      <c r="O36" s="2" t="str">
        <f>VLOOKUP(الحركات[إلى صندوق],Table1[[الصندوق]:[نوعه]],2,0)</f>
        <v>صرف</v>
      </c>
    </row>
    <row r="37" spans="1:15" x14ac:dyDescent="0.3">
      <c r="A37">
        <v>201802</v>
      </c>
      <c r="B37" s="3"/>
      <c r="C37" t="s">
        <v>18</v>
      </c>
      <c r="D37" s="15">
        <f>VLOOKUP(الحركات[[#This Row],[من صندوق]],Table5[],5,0)</f>
        <v>225</v>
      </c>
      <c r="E37" t="s">
        <v>4</v>
      </c>
      <c r="F37" s="15">
        <f>VLOOKUP(الحركات[[#This Row],[إلى صندوق]],Table5[[الصندوق]:[الرصيد الفعلي]],5,0)</f>
        <v>200</v>
      </c>
      <c r="G37" s="15">
        <f>IF(VLOOKUP(الحركات[إلى صندوق],Table1[],3,0)=0,VLOOKUP(الحركات[[#This Row],[من صندوق]],Table1[[الصندوق]:[القيمة الشهرية]],3,0),VLOOKUP(الحركات[إلى صندوق],Table1[],3,0))</f>
        <v>200</v>
      </c>
      <c r="H37" s="22">
        <v>200</v>
      </c>
      <c r="I37" s="22"/>
      <c r="J37" t="s">
        <v>58</v>
      </c>
      <c r="L37" s="2" t="b">
        <f ca="1">AND(الحركات[[#This Row],[مدفوع من شهر]]&lt;=VALUE(TEXT($A$2,"YYYYMM")),الحركات[[#This Row],[الحالة]]="")</f>
        <v>1</v>
      </c>
      <c r="M37" s="2" t="str">
        <f>الحركات[من صندوق]&amp;"/"&amp;الحركات[إلى صندوق]</f>
        <v>الراتب/طوارئ</v>
      </c>
      <c r="N37" s="2" t="str">
        <f>VLOOKUP(الحركات[من صندوق],Table1[],2,0)</f>
        <v>دخل</v>
      </c>
      <c r="O37" s="2" t="str">
        <f>VLOOKUP(الحركات[إلى صندوق],Table1[[الصندوق]:[نوعه]],2,0)</f>
        <v>صرف</v>
      </c>
    </row>
    <row r="38" spans="1:15" x14ac:dyDescent="0.3">
      <c r="A38">
        <v>201802</v>
      </c>
      <c r="B38" s="3"/>
      <c r="C38" t="s">
        <v>11</v>
      </c>
      <c r="D38" s="16">
        <f>VLOOKUP(الحركات[[#This Row],[من صندوق]],Table5[],5,0)</f>
        <v>0</v>
      </c>
      <c r="E38" t="s">
        <v>14</v>
      </c>
      <c r="F38" s="16">
        <f>VLOOKUP(الحركات[[#This Row],[إلى صندوق]],Table5[[الصندوق]:[الرصيد الفعلي]],5,0)</f>
        <v>5025</v>
      </c>
      <c r="G38" s="16">
        <f>IF(VLOOKUP(الحركات[إلى صندوق],Table1[],3,0)=0,VLOOKUP(الحركات[[#This Row],[من صندوق]],Table1[[الصندوق]:[القيمة الشهرية]],3,0),VLOOKUP(الحركات[إلى صندوق],Table1[],3,0))</f>
        <v>250</v>
      </c>
      <c r="H38" s="22">
        <v>250</v>
      </c>
      <c r="I38" s="22"/>
      <c r="J38" t="s">
        <v>59</v>
      </c>
      <c r="L38" s="7" t="b">
        <f ca="1">AND(الحركات[[#This Row],[مدفوع من شهر]]&lt;=VALUE(TEXT($A$2,"YYYYMM")),الحركات[[#This Row],[الحالة]]="")</f>
        <v>1</v>
      </c>
      <c r="M38" s="7" t="str">
        <f>الحركات[من صندوق]&amp;"/"&amp;الحركات[إلى صندوق]</f>
        <v>فواتير/صرف</v>
      </c>
      <c r="N38" s="7" t="str">
        <f>VLOOKUP(الحركات[من صندوق],Table1[],2,0)</f>
        <v>صرف</v>
      </c>
      <c r="O38" s="7" t="str">
        <f>VLOOKUP(الحركات[إلى صندوق],Table1[[الصندوق]:[نوعه]],2,0)</f>
        <v>خارجي</v>
      </c>
    </row>
    <row r="39" spans="1:15" x14ac:dyDescent="0.3">
      <c r="A39">
        <v>201802</v>
      </c>
      <c r="B39" s="3"/>
      <c r="C39" t="s">
        <v>13</v>
      </c>
      <c r="D39" s="16">
        <f>VLOOKUP(الحركات[[#This Row],[من صندوق]],Table5[],5,0)</f>
        <v>0</v>
      </c>
      <c r="E39" t="s">
        <v>14</v>
      </c>
      <c r="F39" s="16">
        <f>VLOOKUP(الحركات[[#This Row],[إلى صندوق]],Table5[[الصندوق]:[الرصيد الفعلي]],5,0)</f>
        <v>5025</v>
      </c>
      <c r="G39" s="16">
        <f>IF(VLOOKUP(الحركات[إلى صندوق],Table1[],3,0)=0,VLOOKUP(الحركات[[#This Row],[من صندوق]],Table1[[الصندوق]:[القيمة الشهرية]],3,0),VLOOKUP(الحركات[إلى صندوق],Table1[],3,0))</f>
        <v>3800</v>
      </c>
      <c r="H39" s="22">
        <v>3800</v>
      </c>
      <c r="I39" s="22"/>
      <c r="J39" t="s">
        <v>60</v>
      </c>
      <c r="L39" s="7" t="b">
        <f ca="1">AND(الحركات[[#This Row],[مدفوع من شهر]]&lt;=VALUE(TEXT($A$2,"YYYYMM")),الحركات[[#This Row],[الحالة]]="")</f>
        <v>1</v>
      </c>
      <c r="M39" s="7" t="str">
        <f>الحركات[من صندوق]&amp;"/"&amp;الحركات[إلى صندوق]</f>
        <v>مصاريف شهرية/صرف</v>
      </c>
      <c r="N39" s="7" t="str">
        <f>VLOOKUP(الحركات[من صندوق],Table1[],2,0)</f>
        <v>صرف</v>
      </c>
      <c r="O39" s="7" t="str">
        <f>VLOOKUP(الحركات[إلى صندوق],Table1[[الصندوق]:[نوعه]],2,0)</f>
        <v>خارجي</v>
      </c>
    </row>
    <row r="40" spans="1:15" x14ac:dyDescent="0.3">
      <c r="A40">
        <v>201802</v>
      </c>
      <c r="B40" s="3"/>
      <c r="C40" t="s">
        <v>3</v>
      </c>
      <c r="D40" s="16">
        <f>VLOOKUP(الحركات[[#This Row],[من صندوق]],Table5[],5,0)</f>
        <v>2000</v>
      </c>
      <c r="E40" t="s">
        <v>14</v>
      </c>
      <c r="F40" s="16">
        <f>VLOOKUP(الحركات[[#This Row],[إلى صندوق]],Table5[[الصندوق]:[الرصيد الفعلي]],5,0)</f>
        <v>5025</v>
      </c>
      <c r="G40" s="16">
        <f>IF(VLOOKUP(الحركات[إلى صندوق],Table1[],3,0)=0,VLOOKUP(الحركات[[#This Row],[من صندوق]],Table1[[الصندوق]:[القيمة الشهرية]],3,0),VLOOKUP(الحركات[إلى صندوق],Table1[],3,0))</f>
        <v>2000</v>
      </c>
      <c r="H40" s="22">
        <v>8000</v>
      </c>
      <c r="I40" s="22"/>
      <c r="J40" t="s">
        <v>61</v>
      </c>
      <c r="L40" s="7" t="b">
        <f ca="1">AND(الحركات[[#This Row],[مدفوع من شهر]]&lt;=VALUE(TEXT($A$2,"YYYYMM")),الحركات[[#This Row],[الحالة]]="")</f>
        <v>1</v>
      </c>
      <c r="M40" s="7" t="str">
        <f>الحركات[من صندوق]&amp;"/"&amp;الحركات[إلى صندوق]</f>
        <v>مدارس/صرف</v>
      </c>
      <c r="N40" s="7" t="str">
        <f>VLOOKUP(الحركات[من صندوق],Table1[],2,0)</f>
        <v>صرف</v>
      </c>
      <c r="O40" s="7" t="str">
        <f>VLOOKUP(الحركات[إلى صندوق],Table1[[الصندوق]:[نوعه]],2,0)</f>
        <v>خارجي</v>
      </c>
    </row>
    <row r="41" spans="1:15" x14ac:dyDescent="0.3">
      <c r="A41">
        <v>201802</v>
      </c>
      <c r="B41" s="3"/>
      <c r="C41" t="s">
        <v>0</v>
      </c>
      <c r="D41" s="16">
        <f>VLOOKUP(الحركات[[#This Row],[من صندوق]],Table5[],5,0)</f>
        <v>0</v>
      </c>
      <c r="E41" t="s">
        <v>14</v>
      </c>
      <c r="F41" s="16">
        <f>VLOOKUP(الحركات[[#This Row],[إلى صندوق]],Table5[[الصندوق]:[الرصيد الفعلي]],5,0)</f>
        <v>5025</v>
      </c>
      <c r="G41" s="16">
        <f>IF(VLOOKUP(الحركات[إلى صندوق],Table1[],3,0)=0,VLOOKUP(الحركات[[#This Row],[من صندوق]],Table1[[الصندوق]:[القيمة الشهرية]],3,0),VLOOKUP(الحركات[إلى صندوق],Table1[],3,0))</f>
        <v>500</v>
      </c>
      <c r="H41" s="22">
        <v>500</v>
      </c>
      <c r="I41" s="22"/>
      <c r="J41" t="s">
        <v>66</v>
      </c>
      <c r="L41" s="7" t="b">
        <f ca="1">AND(الحركات[[#This Row],[مدفوع من شهر]]&lt;=VALUE(TEXT($A$2,"YYYYMM")),الحركات[[#This Row],[الحالة]]="")</f>
        <v>1</v>
      </c>
      <c r="M41" s="7" t="str">
        <f>الحركات[من صندوق]&amp;"/"&amp;الحركات[إلى صندوق]</f>
        <v>توفير/صرف</v>
      </c>
      <c r="N41" s="7" t="str">
        <f>VLOOKUP(الحركات[من صندوق],Table1[],2,0)</f>
        <v>صرف</v>
      </c>
      <c r="O41" s="7" t="str">
        <f>VLOOKUP(الحركات[إلى صندوق],Table1[[الصندوق]:[نوعه]],2,0)</f>
        <v>خارجي</v>
      </c>
    </row>
    <row r="42" spans="1:15" x14ac:dyDescent="0.3">
      <c r="A42">
        <v>201802</v>
      </c>
      <c r="B42" s="3"/>
      <c r="C42" t="s">
        <v>15</v>
      </c>
      <c r="D42" s="17">
        <f>VLOOKUP(الحركات[[#This Row],[من صندوق]],Table5[],5,0)</f>
        <v>0</v>
      </c>
      <c r="E42" t="s">
        <v>14</v>
      </c>
      <c r="F42" s="17">
        <f>VLOOKUP(الحركات[[#This Row],[إلى صندوق]],Table5[[الصندوق]:[الرصيد الفعلي]],5,0)</f>
        <v>5025</v>
      </c>
      <c r="G42" s="17">
        <f>IF(VLOOKUP(الحركات[إلى صندوق],Table1[],3,0)=0,VLOOKUP(الحركات[[#This Row],[من صندوق]],Table1[[الصندوق]:[القيمة الشهرية]],3,0),VLOOKUP(الحركات[إلى صندوق],Table1[],3,0))</f>
        <v>285</v>
      </c>
      <c r="H42" s="22">
        <v>285</v>
      </c>
      <c r="I42" s="22"/>
      <c r="J42" t="s">
        <v>71</v>
      </c>
      <c r="L42" s="8" t="b">
        <f ca="1">AND(الحركات[[#This Row],[مدفوع من شهر]]&lt;=VALUE(TEXT($A$2,"YYYYMM")),الحركات[[#This Row],[الحالة]]="")</f>
        <v>1</v>
      </c>
      <c r="M42" s="8" t="str">
        <f>الحركات[من صندوق]&amp;"/"&amp;الحركات[إلى صندوق]</f>
        <v>ملابس/صرف</v>
      </c>
      <c r="N42" s="8" t="str">
        <f>VLOOKUP(الحركات[من صندوق],Table1[],2,0)</f>
        <v>صرف</v>
      </c>
      <c r="O42" s="8" t="str">
        <f>VLOOKUP(الحركات[إلى صندوق],Table1[[الصندوق]:[نوعه]],2,0)</f>
        <v>خارجي</v>
      </c>
    </row>
    <row r="43" spans="1:15" x14ac:dyDescent="0.3">
      <c r="A43">
        <v>201802</v>
      </c>
      <c r="B43" s="3"/>
      <c r="C43" t="s">
        <v>1</v>
      </c>
      <c r="D43" s="17">
        <f>VLOOKUP(الحركات[[#This Row],[من صندوق]],Table5[],5,0)</f>
        <v>0</v>
      </c>
      <c r="E43" t="s">
        <v>14</v>
      </c>
      <c r="F43" s="17">
        <f>VLOOKUP(الحركات[[#This Row],[إلى صندوق]],Table5[[الصندوق]:[الرصيد الفعلي]],5,0)</f>
        <v>5025</v>
      </c>
      <c r="G43" s="17">
        <f>IF(VLOOKUP(الحركات[إلى صندوق],Table1[],3,0)=0,VLOOKUP(الحركات[[#This Row],[من صندوق]],Table1[[الصندوق]:[القيمة الشهرية]],3,0),VLOOKUP(الحركات[إلى صندوق],Table1[],3,0))</f>
        <v>190</v>
      </c>
      <c r="H43" s="22">
        <v>190</v>
      </c>
      <c r="I43" s="22"/>
      <c r="J43" t="s">
        <v>72</v>
      </c>
      <c r="L43" s="8" t="b">
        <f ca="1">AND(الحركات[[#This Row],[مدفوع من شهر]]&lt;=VALUE(TEXT($A$2,"YYYYMM")),الحركات[[#This Row],[الحالة]]="")</f>
        <v>1</v>
      </c>
      <c r="M43" s="8" t="str">
        <f>الحركات[من صندوق]&amp;"/"&amp;الحركات[إلى صندوق]</f>
        <v>هدايا/صرف</v>
      </c>
      <c r="N43" s="8" t="str">
        <f>VLOOKUP(الحركات[من صندوق],Table1[],2,0)</f>
        <v>صرف</v>
      </c>
      <c r="O43" s="8" t="str">
        <f>VLOOKUP(الحركات[إلى صندوق],Table1[[الصندوق]:[نوعه]],2,0)</f>
        <v>خارجي</v>
      </c>
    </row>
    <row r="44" spans="1:15" x14ac:dyDescent="0.3">
      <c r="A44">
        <v>201802</v>
      </c>
      <c r="B44" s="3"/>
      <c r="C44" t="s">
        <v>21</v>
      </c>
      <c r="D44" s="18">
        <f>VLOOKUP(الحركات[[#This Row],[من صندوق]],Table5[],5,0)</f>
        <v>1500</v>
      </c>
      <c r="E44" t="s">
        <v>3</v>
      </c>
      <c r="F44" s="18">
        <f>VLOOKUP(الحركات[[#This Row],[إلى صندوق]],Table5[[الصندوق]:[الرصيد الفعلي]],5,0)</f>
        <v>2000</v>
      </c>
      <c r="G44" s="18">
        <f>IF(VLOOKUP(الحركات[إلى صندوق],Table1[],3,0)=0,VLOOKUP(الحركات[[#This Row],[من صندوق]],Table1[[الصندوق]:[القيمة الشهرية]],3,0),VLOOKUP(الحركات[إلى صندوق],Table1[],3,0))</f>
        <v>2000</v>
      </c>
      <c r="H44" s="22">
        <v>3000</v>
      </c>
      <c r="I44" s="22"/>
      <c r="J44" t="s">
        <v>88</v>
      </c>
      <c r="L44" s="11" t="b">
        <f ca="1">AND(الحركات[[#This Row],[مدفوع من شهر]]&lt;=VALUE(TEXT($A$2,"YYYYMM")),الحركات[[#This Row],[الحالة]]="")</f>
        <v>1</v>
      </c>
      <c r="M44" s="11" t="str">
        <f>الحركات[من صندوق]&amp;"/"&amp;الحركات[إلى صندوق]</f>
        <v>ايجار المنزل/مدارس</v>
      </c>
      <c r="N44" s="11" t="str">
        <f>VLOOKUP(الحركات[من صندوق],Table1[],2,0)</f>
        <v>صرف</v>
      </c>
      <c r="O44" s="11" t="str">
        <f>VLOOKUP(الحركات[إلى صندوق],Table1[[الصندوق]:[نوعه]],2,0)</f>
        <v>صرف</v>
      </c>
    </row>
    <row r="45" spans="1:15" x14ac:dyDescent="0.3">
      <c r="A45">
        <v>201802</v>
      </c>
      <c r="B45" s="3"/>
      <c r="C45" t="s">
        <v>12</v>
      </c>
      <c r="D45" s="18">
        <f>VLOOKUP(الحركات[[#This Row],[من صندوق]],Table5[],5,0)</f>
        <v>400</v>
      </c>
      <c r="E45" t="s">
        <v>3</v>
      </c>
      <c r="F45" s="18">
        <f>VLOOKUP(الحركات[[#This Row],[إلى صندوق]],Table5[[الصندوق]:[الرصيد الفعلي]],5,0)</f>
        <v>2000</v>
      </c>
      <c r="G45" s="18">
        <f>IF(VLOOKUP(الحركات[إلى صندوق],Table1[],3,0)=0,VLOOKUP(الحركات[[#This Row],[من صندوق]],Table1[[الصندوق]:[القيمة الشهرية]],3,0),VLOOKUP(الحركات[إلى صندوق],Table1[],3,0))</f>
        <v>2000</v>
      </c>
      <c r="H45" s="22">
        <v>800</v>
      </c>
      <c r="I45" s="22"/>
      <c r="J45" t="s">
        <v>88</v>
      </c>
      <c r="L45" s="11" t="b">
        <f ca="1">AND(الحركات[[#This Row],[مدفوع من شهر]]&lt;=VALUE(TEXT($A$2,"YYYYMM")),الحركات[[#This Row],[الحالة]]="")</f>
        <v>1</v>
      </c>
      <c r="M45" s="11" t="str">
        <f>الحركات[من صندوق]&amp;"/"&amp;الحركات[إلى صندوق]</f>
        <v>اجازات/مدارس</v>
      </c>
      <c r="N45" s="11" t="str">
        <f>VLOOKUP(الحركات[من صندوق],Table1[],2,0)</f>
        <v>صرف</v>
      </c>
      <c r="O45" s="11" t="str">
        <f>VLOOKUP(الحركات[إلى صندوق],Table1[[الصندوق]:[نوعه]],2,0)</f>
        <v>صرف</v>
      </c>
    </row>
    <row r="46" spans="1:15" x14ac:dyDescent="0.3">
      <c r="A46">
        <v>201802</v>
      </c>
      <c r="B46" s="3"/>
      <c r="C46" t="s">
        <v>9</v>
      </c>
      <c r="D46" s="18">
        <f>VLOOKUP(الحركات[[#This Row],[من صندوق]],Table5[],5,0)</f>
        <v>200</v>
      </c>
      <c r="E46" t="s">
        <v>3</v>
      </c>
      <c r="F46" s="18">
        <f>VLOOKUP(الحركات[[#This Row],[إلى صندوق]],Table5[[الصندوق]:[الرصيد الفعلي]],5,0)</f>
        <v>2000</v>
      </c>
      <c r="G46" s="18">
        <f>IF(VLOOKUP(الحركات[إلى صندوق],Table1[],3,0)=0,VLOOKUP(الحركات[[#This Row],[من صندوق]],Table1[[الصندوق]:[القيمة الشهرية]],3,0),VLOOKUP(الحركات[إلى صندوق],Table1[],3,0))</f>
        <v>2000</v>
      </c>
      <c r="H46" s="22">
        <v>200</v>
      </c>
      <c r="I46" s="22"/>
      <c r="J46" t="s">
        <v>88</v>
      </c>
      <c r="L46" s="11" t="b">
        <f ca="1">AND(الحركات[[#This Row],[مدفوع من شهر]]&lt;=VALUE(TEXT($A$2,"YYYYMM")),الحركات[[#This Row],[الحالة]]="")</f>
        <v>1</v>
      </c>
      <c r="M46" s="11" t="str">
        <f>الحركات[من صندوق]&amp;"/"&amp;الحركات[إلى صندوق]</f>
        <v>دورات/مدارس</v>
      </c>
      <c r="N46" s="11" t="str">
        <f>VLOOKUP(الحركات[من صندوق],Table1[],2,0)</f>
        <v>صرف</v>
      </c>
      <c r="O46" s="11" t="str">
        <f>VLOOKUP(الحركات[إلى صندوق],Table1[[الصندوق]:[نوعه]],2,0)</f>
        <v>صرف</v>
      </c>
    </row>
    <row r="47" spans="1:15" x14ac:dyDescent="0.3">
      <c r="A47">
        <v>201803</v>
      </c>
      <c r="B47" s="3"/>
      <c r="C47" t="s">
        <v>20</v>
      </c>
      <c r="D47" s="15">
        <f>VLOOKUP(الحركات[[#This Row],[من صندوق]],Table5[],5,0)</f>
        <v>-10000</v>
      </c>
      <c r="E47" t="s">
        <v>18</v>
      </c>
      <c r="F47" s="15">
        <f>VLOOKUP(الحركات[[#This Row],[إلى صندوق]],Table5[[الصندوق]:[الرصيد الفعلي]],5,0)</f>
        <v>225</v>
      </c>
      <c r="G47" s="15">
        <f>IF(VLOOKUP(الحركات[إلى صندوق],Table1[],3,0)=0,VLOOKUP(الحركات[[#This Row],[من صندوق]],Table1[[الصندوق]:[القيمة الشهرية]],3,0),VLOOKUP(الحركات[إلى صندوق],Table1[],3,0))</f>
        <v>10000</v>
      </c>
      <c r="H47" s="22">
        <v>10000</v>
      </c>
      <c r="I47" s="22"/>
      <c r="J47" t="s">
        <v>40</v>
      </c>
      <c r="L47" s="2" t="b">
        <f ca="1">AND(الحركات[[#This Row],[مدفوع من شهر]]&lt;=VALUE(TEXT($A$2,"YYYYMM")),الحركات[[#This Row],[الحالة]]="")</f>
        <v>1</v>
      </c>
      <c r="M47" s="2" t="str">
        <f>الحركات[من صندوق]&amp;"/"&amp;الحركات[إلى صندوق]</f>
        <v>الشركة/الراتب</v>
      </c>
      <c r="N47" s="2" t="str">
        <f>VLOOKUP(الحركات[من صندوق],Table1[],2,0)</f>
        <v>خارجي</v>
      </c>
      <c r="O47" s="2" t="str">
        <f>VLOOKUP(الحركات[إلى صندوق],Table1[[الصندوق]:[نوعه]],2,0)</f>
        <v>دخل</v>
      </c>
    </row>
    <row r="48" spans="1:15" x14ac:dyDescent="0.3">
      <c r="A48">
        <v>201803</v>
      </c>
      <c r="B48" s="3"/>
      <c r="C48" t="s">
        <v>18</v>
      </c>
      <c r="D48" s="15">
        <f>VLOOKUP(الحركات[[#This Row],[من صندوق]],Table5[],5,0)</f>
        <v>225</v>
      </c>
      <c r="E48" t="s">
        <v>11</v>
      </c>
      <c r="F48" s="15">
        <f>VLOOKUP(الحركات[[#This Row],[إلى صندوق]],Table5[[الصندوق]:[الرصيد الفعلي]],5,0)</f>
        <v>0</v>
      </c>
      <c r="G48" s="15">
        <f>IF(VLOOKUP(الحركات[إلى صندوق],Table1[],3,0)=0,VLOOKUP(الحركات[[#This Row],[من صندوق]],Table1[[الصندوق]:[القيمة الشهرية]],3,0),VLOOKUP(الحركات[إلى صندوق],Table1[],3,0))</f>
        <v>250</v>
      </c>
      <c r="H48" s="22">
        <v>250</v>
      </c>
      <c r="I48" s="22"/>
      <c r="J48" t="s">
        <v>47</v>
      </c>
      <c r="L48" s="2" t="b">
        <f ca="1">AND(الحركات[[#This Row],[مدفوع من شهر]]&lt;=VALUE(TEXT($A$2,"YYYYMM")),الحركات[[#This Row],[الحالة]]="")</f>
        <v>1</v>
      </c>
      <c r="M48" s="2" t="str">
        <f>الحركات[من صندوق]&amp;"/"&amp;الحركات[إلى صندوق]</f>
        <v>الراتب/فواتير</v>
      </c>
      <c r="N48" s="2" t="str">
        <f>VLOOKUP(الحركات[من صندوق],Table1[],2,0)</f>
        <v>دخل</v>
      </c>
      <c r="O48" s="2" t="str">
        <f>VLOOKUP(الحركات[إلى صندوق],Table1[[الصندوق]:[نوعه]],2,0)</f>
        <v>صرف</v>
      </c>
    </row>
    <row r="49" spans="1:15" x14ac:dyDescent="0.3">
      <c r="A49">
        <v>201803</v>
      </c>
      <c r="B49" s="3"/>
      <c r="C49" t="s">
        <v>18</v>
      </c>
      <c r="D49" s="15">
        <f>VLOOKUP(الحركات[[#This Row],[من صندوق]],Table5[],5,0)</f>
        <v>225</v>
      </c>
      <c r="E49" t="s">
        <v>13</v>
      </c>
      <c r="F49" s="15">
        <f>VLOOKUP(الحركات[[#This Row],[إلى صندوق]],Table5[[الصندوق]:[الرصيد الفعلي]],5,0)</f>
        <v>0</v>
      </c>
      <c r="G49" s="15">
        <f>IF(VLOOKUP(الحركات[إلى صندوق],Table1[],3,0)=0,VLOOKUP(الحركات[[#This Row],[من صندوق]],Table1[[الصندوق]:[القيمة الشهرية]],3,0),VLOOKUP(الحركات[إلى صندوق],Table1[],3,0))</f>
        <v>3800</v>
      </c>
      <c r="H49" s="22">
        <v>3800</v>
      </c>
      <c r="I49" s="22"/>
      <c r="J49" t="s">
        <v>48</v>
      </c>
      <c r="L49" s="2" t="b">
        <f ca="1">AND(الحركات[[#This Row],[مدفوع من شهر]]&lt;=VALUE(TEXT($A$2,"YYYYMM")),الحركات[[#This Row],[الحالة]]="")</f>
        <v>1</v>
      </c>
      <c r="M49" s="2" t="str">
        <f>الحركات[من صندوق]&amp;"/"&amp;الحركات[إلى صندوق]</f>
        <v>الراتب/مصاريف شهرية</v>
      </c>
      <c r="N49" s="2" t="str">
        <f>VLOOKUP(الحركات[من صندوق],Table1[],2,0)</f>
        <v>دخل</v>
      </c>
      <c r="O49" s="2" t="str">
        <f>VLOOKUP(الحركات[إلى صندوق],Table1[[الصندوق]:[نوعه]],2,0)</f>
        <v>صرف</v>
      </c>
    </row>
    <row r="50" spans="1:15" x14ac:dyDescent="0.3">
      <c r="A50">
        <v>201803</v>
      </c>
      <c r="B50" s="3"/>
      <c r="C50" t="s">
        <v>18</v>
      </c>
      <c r="D50" s="15">
        <f>VLOOKUP(الحركات[[#This Row],[من صندوق]],Table5[],5,0)</f>
        <v>225</v>
      </c>
      <c r="E50" t="s">
        <v>3</v>
      </c>
      <c r="F50" s="15">
        <f>VLOOKUP(الحركات[[#This Row],[إلى صندوق]],Table5[[الصندوق]:[الرصيد الفعلي]],5,0)</f>
        <v>2000</v>
      </c>
      <c r="G50" s="15">
        <f>IF(VLOOKUP(الحركات[إلى صندوق],Table1[],3,0)=0,VLOOKUP(الحركات[[#This Row],[من صندوق]],Table1[[الصندوق]:[القيمة الشهرية]],3,0),VLOOKUP(الحركات[إلى صندوق],Table1[],3,0))</f>
        <v>2000</v>
      </c>
      <c r="H50" s="22">
        <v>2000</v>
      </c>
      <c r="I50" s="22"/>
      <c r="J50" t="s">
        <v>49</v>
      </c>
      <c r="L50" s="2" t="b">
        <f ca="1">AND(الحركات[[#This Row],[مدفوع من شهر]]&lt;=VALUE(TEXT($A$2,"YYYYMM")),الحركات[[#This Row],[الحالة]]="")</f>
        <v>1</v>
      </c>
      <c r="M50" s="2" t="str">
        <f>الحركات[من صندوق]&amp;"/"&amp;الحركات[إلى صندوق]</f>
        <v>الراتب/مدارس</v>
      </c>
      <c r="N50" s="2" t="str">
        <f>VLOOKUP(الحركات[من صندوق],Table1[],2,0)</f>
        <v>دخل</v>
      </c>
      <c r="O50" s="2" t="str">
        <f>VLOOKUP(الحركات[إلى صندوق],Table1[[الصندوق]:[نوعه]],2,0)</f>
        <v>صرف</v>
      </c>
    </row>
    <row r="51" spans="1:15" x14ac:dyDescent="0.3">
      <c r="A51">
        <v>201803</v>
      </c>
      <c r="B51" s="3"/>
      <c r="C51" t="s">
        <v>18</v>
      </c>
      <c r="D51" s="15">
        <f>VLOOKUP(الحركات[[#This Row],[من صندوق]],Table5[],5,0)</f>
        <v>225</v>
      </c>
      <c r="E51" t="s">
        <v>21</v>
      </c>
      <c r="F51" s="15">
        <f>VLOOKUP(الحركات[[#This Row],[إلى صندوق]],Table5[[الصندوق]:[الرصيد الفعلي]],5,0)</f>
        <v>1500</v>
      </c>
      <c r="G51" s="15">
        <f>IF(VLOOKUP(الحركات[إلى صندوق],Table1[],3,0)=0,VLOOKUP(الحركات[[#This Row],[من صندوق]],Table1[[الصندوق]:[القيمة الشهرية]],3,0),VLOOKUP(الحركات[إلى صندوق],Table1[],3,0))</f>
        <v>1500</v>
      </c>
      <c r="H51" s="22">
        <v>1500</v>
      </c>
      <c r="I51" s="22"/>
      <c r="J51" t="s">
        <v>50</v>
      </c>
      <c r="L51" s="2" t="b">
        <f ca="1">AND(الحركات[[#This Row],[مدفوع من شهر]]&lt;=VALUE(TEXT($A$2,"YYYYMM")),الحركات[[#This Row],[الحالة]]="")</f>
        <v>1</v>
      </c>
      <c r="M51" s="2" t="str">
        <f>الحركات[من صندوق]&amp;"/"&amp;الحركات[إلى صندوق]</f>
        <v>الراتب/ايجار المنزل</v>
      </c>
      <c r="N51" s="2" t="str">
        <f>VLOOKUP(الحركات[من صندوق],Table1[],2,0)</f>
        <v>دخل</v>
      </c>
      <c r="O51" s="2" t="str">
        <f>VLOOKUP(الحركات[إلى صندوق],Table1[[الصندوق]:[نوعه]],2,0)</f>
        <v>صرف</v>
      </c>
    </row>
    <row r="52" spans="1:15" x14ac:dyDescent="0.3">
      <c r="A52">
        <v>201803</v>
      </c>
      <c r="B52" s="3"/>
      <c r="C52" t="s">
        <v>18</v>
      </c>
      <c r="D52" s="15">
        <f>VLOOKUP(الحركات[[#This Row],[من صندوق]],Table5[],5,0)</f>
        <v>225</v>
      </c>
      <c r="E52" t="s">
        <v>0</v>
      </c>
      <c r="F52" s="15">
        <f>VLOOKUP(الحركات[[#This Row],[إلى صندوق]],Table5[[الصندوق]:[الرصيد الفعلي]],5,0)</f>
        <v>0</v>
      </c>
      <c r="G52" s="15">
        <f>IF(VLOOKUP(الحركات[إلى صندوق],Table1[],3,0)=0,VLOOKUP(الحركات[[#This Row],[من صندوق]],Table1[[الصندوق]:[القيمة الشهرية]],3,0),VLOOKUP(الحركات[إلى صندوق],Table1[],3,0))</f>
        <v>500</v>
      </c>
      <c r="H52" s="22">
        <v>500</v>
      </c>
      <c r="I52" s="22"/>
      <c r="J52" t="s">
        <v>51</v>
      </c>
      <c r="L52" s="2" t="b">
        <f ca="1">AND(الحركات[[#This Row],[مدفوع من شهر]]&lt;=VALUE(TEXT($A$2,"YYYYMM")),الحركات[[#This Row],[الحالة]]="")</f>
        <v>1</v>
      </c>
      <c r="M52" s="2" t="str">
        <f>الحركات[من صندوق]&amp;"/"&amp;الحركات[إلى صندوق]</f>
        <v>الراتب/توفير</v>
      </c>
      <c r="N52" s="2" t="str">
        <f>VLOOKUP(الحركات[من صندوق],Table1[],2,0)</f>
        <v>دخل</v>
      </c>
      <c r="O52" s="2" t="str">
        <f>VLOOKUP(الحركات[إلى صندوق],Table1[[الصندوق]:[نوعه]],2,0)</f>
        <v>صرف</v>
      </c>
    </row>
    <row r="53" spans="1:15" x14ac:dyDescent="0.3">
      <c r="A53">
        <v>201803</v>
      </c>
      <c r="B53" s="3"/>
      <c r="C53" t="s">
        <v>18</v>
      </c>
      <c r="D53" s="15">
        <f>VLOOKUP(الحركات[[#This Row],[من صندوق]],Table5[],5,0)</f>
        <v>225</v>
      </c>
      <c r="E53" t="s">
        <v>12</v>
      </c>
      <c r="F53" s="15">
        <f>VLOOKUP(الحركات[[#This Row],[إلى صندوق]],Table5[[الصندوق]:[الرصيد الفعلي]],5,0)</f>
        <v>400</v>
      </c>
      <c r="G53" s="15">
        <f>IF(VLOOKUP(الحركات[إلى صندوق],Table1[],3,0)=0,VLOOKUP(الحركات[[#This Row],[من صندوق]],Table1[[الصندوق]:[القيمة الشهرية]],3,0),VLOOKUP(الحركات[إلى صندوق],Table1[],3,0))</f>
        <v>400</v>
      </c>
      <c r="H53" s="22">
        <v>400</v>
      </c>
      <c r="I53" s="22"/>
      <c r="J53" t="s">
        <v>52</v>
      </c>
      <c r="L53" s="2" t="b">
        <f ca="1">AND(الحركات[[#This Row],[مدفوع من شهر]]&lt;=VALUE(TEXT($A$2,"YYYYMM")),الحركات[[#This Row],[الحالة]]="")</f>
        <v>1</v>
      </c>
      <c r="M53" s="2" t="str">
        <f>الحركات[من صندوق]&amp;"/"&amp;الحركات[إلى صندوق]</f>
        <v>الراتب/اجازات</v>
      </c>
      <c r="N53" s="2" t="str">
        <f>VLOOKUP(الحركات[من صندوق],Table1[],2,0)</f>
        <v>دخل</v>
      </c>
      <c r="O53" s="2" t="str">
        <f>VLOOKUP(الحركات[إلى صندوق],Table1[[الصندوق]:[نوعه]],2,0)</f>
        <v>صرف</v>
      </c>
    </row>
    <row r="54" spans="1:15" x14ac:dyDescent="0.3">
      <c r="A54">
        <v>201803</v>
      </c>
      <c r="B54" s="3"/>
      <c r="C54" t="s">
        <v>18</v>
      </c>
      <c r="D54" s="15">
        <f>VLOOKUP(الحركات[[#This Row],[من صندوق]],Table5[],5,0)</f>
        <v>225</v>
      </c>
      <c r="E54" t="s">
        <v>9</v>
      </c>
      <c r="F54" s="15">
        <f>VLOOKUP(الحركات[[#This Row],[إلى صندوق]],Table5[[الصندوق]:[الرصيد الفعلي]],5,0)</f>
        <v>200</v>
      </c>
      <c r="G54" s="15">
        <f>IF(VLOOKUP(الحركات[إلى صندوق],Table1[],3,0)=0,VLOOKUP(الحركات[[#This Row],[من صندوق]],Table1[[الصندوق]:[القيمة الشهرية]],3,0),VLOOKUP(الحركات[إلى صندوق],Table1[],3,0))</f>
        <v>200</v>
      </c>
      <c r="H54" s="22">
        <v>200</v>
      </c>
      <c r="I54" s="22"/>
      <c r="J54" t="s">
        <v>53</v>
      </c>
      <c r="L54" s="2" t="b">
        <f ca="1">AND(الحركات[[#This Row],[مدفوع من شهر]]&lt;=VALUE(TEXT($A$2,"YYYYMM")),الحركات[[#This Row],[الحالة]]="")</f>
        <v>1</v>
      </c>
      <c r="M54" s="2" t="str">
        <f>الحركات[من صندوق]&amp;"/"&amp;الحركات[إلى صندوق]</f>
        <v>الراتب/دورات</v>
      </c>
      <c r="N54" s="2" t="str">
        <f>VLOOKUP(الحركات[من صندوق],Table1[],2,0)</f>
        <v>دخل</v>
      </c>
      <c r="O54" s="2" t="str">
        <f>VLOOKUP(الحركات[إلى صندوق],Table1[[الصندوق]:[نوعه]],2,0)</f>
        <v>صرف</v>
      </c>
    </row>
    <row r="55" spans="1:15" x14ac:dyDescent="0.3">
      <c r="A55">
        <v>201803</v>
      </c>
      <c r="B55" s="3"/>
      <c r="C55" t="s">
        <v>18</v>
      </c>
      <c r="D55" s="15">
        <f>VLOOKUP(الحركات[[#This Row],[من صندوق]],Table5[],5,0)</f>
        <v>225</v>
      </c>
      <c r="E55" t="s">
        <v>22</v>
      </c>
      <c r="F55" s="15">
        <f>VLOOKUP(الحركات[[#This Row],[إلى صندوق]],Table5[[الصندوق]:[الرصيد الفعلي]],5,0)</f>
        <v>200</v>
      </c>
      <c r="G55" s="15">
        <f>IF(VLOOKUP(الحركات[إلى صندوق],Table1[],3,0)=0,VLOOKUP(الحركات[[#This Row],[من صندوق]],Table1[[الصندوق]:[القيمة الشهرية]],3,0),VLOOKUP(الحركات[إلى صندوق],Table1[],3,0))</f>
        <v>200</v>
      </c>
      <c r="H55" s="22">
        <v>200</v>
      </c>
      <c r="I55" s="22"/>
      <c r="J55" t="s">
        <v>54</v>
      </c>
      <c r="L55" s="2" t="b">
        <f ca="1">AND(الحركات[[#This Row],[مدفوع من شهر]]&lt;=VALUE(TEXT($A$2,"YYYYMM")),الحركات[[#This Row],[الحالة]]="")</f>
        <v>1</v>
      </c>
      <c r="M55" s="2" t="str">
        <f>الحركات[من صندوق]&amp;"/"&amp;الحركات[إلى صندوق]</f>
        <v>الراتب/زكاة</v>
      </c>
      <c r="N55" s="2" t="str">
        <f>VLOOKUP(الحركات[من صندوق],Table1[],2,0)</f>
        <v>دخل</v>
      </c>
      <c r="O55" s="2" t="str">
        <f>VLOOKUP(الحركات[إلى صندوق],Table1[[الصندوق]:[نوعه]],2,0)</f>
        <v>صرف</v>
      </c>
    </row>
    <row r="56" spans="1:15" x14ac:dyDescent="0.3">
      <c r="A56">
        <v>201803</v>
      </c>
      <c r="B56" s="3"/>
      <c r="C56" t="s">
        <v>18</v>
      </c>
      <c r="D56" s="15">
        <f>VLOOKUP(الحركات[[#This Row],[من صندوق]],Table5[],5,0)</f>
        <v>225</v>
      </c>
      <c r="E56" t="s">
        <v>10</v>
      </c>
      <c r="F56" s="15">
        <f>VLOOKUP(الحركات[[#This Row],[إلى صندوق]],Table5[[الصندوق]:[الرصيد الفعلي]],5,0)</f>
        <v>250</v>
      </c>
      <c r="G56" s="15">
        <f>IF(VLOOKUP(الحركات[إلى صندوق],Table1[],3,0)=0,VLOOKUP(الحركات[[#This Row],[من صندوق]],Table1[[الصندوق]:[القيمة الشهرية]],3,0),VLOOKUP(الحركات[إلى صندوق],Table1[],3,0))</f>
        <v>250</v>
      </c>
      <c r="H56" s="22">
        <v>250</v>
      </c>
      <c r="I56" s="22"/>
      <c r="J56" t="s">
        <v>55</v>
      </c>
      <c r="L56" s="2" t="b">
        <f ca="1">AND(الحركات[[#This Row],[مدفوع من شهر]]&lt;=VALUE(TEXT($A$2,"YYYYMM")),الحركات[[#This Row],[الحالة]]="")</f>
        <v>1</v>
      </c>
      <c r="M56" s="2" t="str">
        <f>الحركات[من صندوق]&amp;"/"&amp;الحركات[إلى صندوق]</f>
        <v>الراتب/صيانة السيارة</v>
      </c>
      <c r="N56" s="2" t="str">
        <f>VLOOKUP(الحركات[من صندوق],Table1[],2,0)</f>
        <v>دخل</v>
      </c>
      <c r="O56" s="2" t="str">
        <f>VLOOKUP(الحركات[إلى صندوق],Table1[[الصندوق]:[نوعه]],2,0)</f>
        <v>صرف</v>
      </c>
    </row>
    <row r="57" spans="1:15" x14ac:dyDescent="0.3">
      <c r="A57">
        <v>201803</v>
      </c>
      <c r="B57" s="3"/>
      <c r="C57" t="s">
        <v>18</v>
      </c>
      <c r="D57" s="15">
        <f>VLOOKUP(الحركات[[#This Row],[من صندوق]],Table5[],5,0)</f>
        <v>225</v>
      </c>
      <c r="E57" t="s">
        <v>15</v>
      </c>
      <c r="F57" s="15">
        <f>VLOOKUP(الحركات[[#This Row],[إلى صندوق]],Table5[[الصندوق]:[الرصيد الفعلي]],5,0)</f>
        <v>0</v>
      </c>
      <c r="G57" s="15">
        <f>IF(VLOOKUP(الحركات[إلى صندوق],Table1[],3,0)=0,VLOOKUP(الحركات[[#This Row],[من صندوق]],Table1[[الصندوق]:[القيمة الشهرية]],3,0),VLOOKUP(الحركات[إلى صندوق],Table1[],3,0))</f>
        <v>285</v>
      </c>
      <c r="H57" s="22">
        <v>285</v>
      </c>
      <c r="I57" s="22"/>
      <c r="J57" t="s">
        <v>56</v>
      </c>
      <c r="L57" s="2" t="b">
        <f ca="1">AND(الحركات[[#This Row],[مدفوع من شهر]]&lt;=VALUE(TEXT($A$2,"YYYYMM")),الحركات[[#This Row],[الحالة]]="")</f>
        <v>1</v>
      </c>
      <c r="M57" s="2" t="str">
        <f>الحركات[من صندوق]&amp;"/"&amp;الحركات[إلى صندوق]</f>
        <v>الراتب/ملابس</v>
      </c>
      <c r="N57" s="2" t="str">
        <f>VLOOKUP(الحركات[من صندوق],Table1[],2,0)</f>
        <v>دخل</v>
      </c>
      <c r="O57" s="2" t="str">
        <f>VLOOKUP(الحركات[إلى صندوق],Table1[[الصندوق]:[نوعه]],2,0)</f>
        <v>صرف</v>
      </c>
    </row>
    <row r="58" spans="1:15" x14ac:dyDescent="0.3">
      <c r="A58">
        <v>201803</v>
      </c>
      <c r="B58" s="3"/>
      <c r="C58" t="s">
        <v>18</v>
      </c>
      <c r="D58" s="15">
        <f>VLOOKUP(الحركات[[#This Row],[من صندوق]],Table5[],5,0)</f>
        <v>225</v>
      </c>
      <c r="E58" t="s">
        <v>1</v>
      </c>
      <c r="F58" s="15">
        <f>VLOOKUP(الحركات[[#This Row],[إلى صندوق]],Table5[[الصندوق]:[الرصيد الفعلي]],5,0)</f>
        <v>0</v>
      </c>
      <c r="G58" s="15">
        <f>IF(VLOOKUP(الحركات[إلى صندوق],Table1[],3,0)=0,VLOOKUP(الحركات[[#This Row],[من صندوق]],Table1[[الصندوق]:[القيمة الشهرية]],3,0),VLOOKUP(الحركات[إلى صندوق],Table1[],3,0))</f>
        <v>190</v>
      </c>
      <c r="H58" s="22">
        <v>190</v>
      </c>
      <c r="I58" s="22"/>
      <c r="J58" t="s">
        <v>57</v>
      </c>
      <c r="L58" s="2" t="b">
        <f ca="1">AND(الحركات[[#This Row],[مدفوع من شهر]]&lt;=VALUE(TEXT($A$2,"YYYYMM")),الحركات[[#This Row],[الحالة]]="")</f>
        <v>1</v>
      </c>
      <c r="M58" s="2" t="str">
        <f>الحركات[من صندوق]&amp;"/"&amp;الحركات[إلى صندوق]</f>
        <v>الراتب/هدايا</v>
      </c>
      <c r="N58" s="2" t="str">
        <f>VLOOKUP(الحركات[من صندوق],Table1[],2,0)</f>
        <v>دخل</v>
      </c>
      <c r="O58" s="2" t="str">
        <f>VLOOKUP(الحركات[إلى صندوق],Table1[[الصندوق]:[نوعه]],2,0)</f>
        <v>صرف</v>
      </c>
    </row>
    <row r="59" spans="1:15" x14ac:dyDescent="0.3">
      <c r="A59">
        <v>201803</v>
      </c>
      <c r="B59" s="3"/>
      <c r="C59" t="s">
        <v>18</v>
      </c>
      <c r="D59" s="15">
        <f>VLOOKUP(الحركات[[#This Row],[من صندوق]],Table5[],5,0)</f>
        <v>225</v>
      </c>
      <c r="E59" t="s">
        <v>4</v>
      </c>
      <c r="F59" s="15">
        <f>VLOOKUP(الحركات[[#This Row],[إلى صندوق]],Table5[[الصندوق]:[الرصيد الفعلي]],5,0)</f>
        <v>200</v>
      </c>
      <c r="G59" s="15">
        <f>IF(VLOOKUP(الحركات[إلى صندوق],Table1[],3,0)=0,VLOOKUP(الحركات[[#This Row],[من صندوق]],Table1[[الصندوق]:[القيمة الشهرية]],3,0),VLOOKUP(الحركات[إلى صندوق],Table1[],3,0))</f>
        <v>200</v>
      </c>
      <c r="H59" s="22">
        <v>200</v>
      </c>
      <c r="I59" s="22"/>
      <c r="J59" t="s">
        <v>58</v>
      </c>
      <c r="L59" s="2" t="b">
        <f ca="1">AND(الحركات[[#This Row],[مدفوع من شهر]]&lt;=VALUE(TEXT($A$2,"YYYYMM")),الحركات[[#This Row],[الحالة]]="")</f>
        <v>1</v>
      </c>
      <c r="M59" s="2" t="str">
        <f>الحركات[من صندوق]&amp;"/"&amp;الحركات[إلى صندوق]</f>
        <v>الراتب/طوارئ</v>
      </c>
      <c r="N59" s="2" t="str">
        <f>VLOOKUP(الحركات[من صندوق],Table1[],2,0)</f>
        <v>دخل</v>
      </c>
      <c r="O59" s="2" t="str">
        <f>VLOOKUP(الحركات[إلى صندوق],Table1[[الصندوق]:[نوعه]],2,0)</f>
        <v>صرف</v>
      </c>
    </row>
    <row r="60" spans="1:15" x14ac:dyDescent="0.3">
      <c r="A60">
        <v>201803</v>
      </c>
      <c r="B60" s="3"/>
      <c r="C60" t="s">
        <v>11</v>
      </c>
      <c r="D60" s="16">
        <f>VLOOKUP(الحركات[[#This Row],[من صندوق]],Table5[],5,0)</f>
        <v>0</v>
      </c>
      <c r="E60" t="s">
        <v>14</v>
      </c>
      <c r="F60" s="16">
        <f>VLOOKUP(الحركات[[#This Row],[إلى صندوق]],Table5[[الصندوق]:[الرصيد الفعلي]],5,0)</f>
        <v>5025</v>
      </c>
      <c r="G60" s="16">
        <f>IF(VLOOKUP(الحركات[إلى صندوق],Table1[],3,0)=0,VLOOKUP(الحركات[[#This Row],[من صندوق]],Table1[[الصندوق]:[القيمة الشهرية]],3,0),VLOOKUP(الحركات[إلى صندوق],Table1[],3,0))</f>
        <v>250</v>
      </c>
      <c r="H60" s="22">
        <v>250</v>
      </c>
      <c r="I60" s="22"/>
      <c r="J60" t="s">
        <v>59</v>
      </c>
      <c r="L60" s="7" t="b">
        <f ca="1">AND(الحركات[[#This Row],[مدفوع من شهر]]&lt;=VALUE(TEXT($A$2,"YYYYMM")),الحركات[[#This Row],[الحالة]]="")</f>
        <v>1</v>
      </c>
      <c r="M60" s="7" t="str">
        <f>الحركات[من صندوق]&amp;"/"&amp;الحركات[إلى صندوق]</f>
        <v>فواتير/صرف</v>
      </c>
      <c r="N60" s="7" t="str">
        <f>VLOOKUP(الحركات[من صندوق],Table1[],2,0)</f>
        <v>صرف</v>
      </c>
      <c r="O60" s="7" t="str">
        <f>VLOOKUP(الحركات[إلى صندوق],Table1[[الصندوق]:[نوعه]],2,0)</f>
        <v>خارجي</v>
      </c>
    </row>
    <row r="61" spans="1:15" x14ac:dyDescent="0.3">
      <c r="A61">
        <v>201803</v>
      </c>
      <c r="B61" s="3"/>
      <c r="C61" t="s">
        <v>13</v>
      </c>
      <c r="D61" s="16">
        <f>VLOOKUP(الحركات[[#This Row],[من صندوق]],Table5[],5,0)</f>
        <v>0</v>
      </c>
      <c r="E61" t="s">
        <v>14</v>
      </c>
      <c r="F61" s="16">
        <f>VLOOKUP(الحركات[[#This Row],[إلى صندوق]],Table5[[الصندوق]:[الرصيد الفعلي]],5,0)</f>
        <v>5025</v>
      </c>
      <c r="G61" s="16">
        <f>IF(VLOOKUP(الحركات[إلى صندوق],Table1[],3,0)=0,VLOOKUP(الحركات[[#This Row],[من صندوق]],Table1[[الصندوق]:[القيمة الشهرية]],3,0),VLOOKUP(الحركات[إلى صندوق],Table1[],3,0))</f>
        <v>3800</v>
      </c>
      <c r="H61" s="22">
        <v>3800</v>
      </c>
      <c r="I61" s="22"/>
      <c r="J61" t="s">
        <v>60</v>
      </c>
      <c r="L61" s="7" t="b">
        <f ca="1">AND(الحركات[[#This Row],[مدفوع من شهر]]&lt;=VALUE(TEXT($A$2,"YYYYMM")),الحركات[[#This Row],[الحالة]]="")</f>
        <v>1</v>
      </c>
      <c r="M61" s="7" t="str">
        <f>الحركات[من صندوق]&amp;"/"&amp;الحركات[إلى صندوق]</f>
        <v>مصاريف شهرية/صرف</v>
      </c>
      <c r="N61" s="7" t="str">
        <f>VLOOKUP(الحركات[من صندوق],Table1[],2,0)</f>
        <v>صرف</v>
      </c>
      <c r="O61" s="7" t="str">
        <f>VLOOKUP(الحركات[إلى صندوق],Table1[[الصندوق]:[نوعه]],2,0)</f>
        <v>خارجي</v>
      </c>
    </row>
    <row r="62" spans="1:15" x14ac:dyDescent="0.3">
      <c r="A62">
        <v>201803</v>
      </c>
      <c r="B62" s="3"/>
      <c r="C62" t="s">
        <v>0</v>
      </c>
      <c r="D62" s="16">
        <f>VLOOKUP(الحركات[[#This Row],[من صندوق]],Table5[],5,0)</f>
        <v>0</v>
      </c>
      <c r="E62" t="s">
        <v>14</v>
      </c>
      <c r="F62" s="16">
        <f>VLOOKUP(الحركات[[#This Row],[إلى صندوق]],Table5[[الصندوق]:[الرصيد الفعلي]],5,0)</f>
        <v>5025</v>
      </c>
      <c r="G62" s="16">
        <f>IF(VLOOKUP(الحركات[إلى صندوق],Table1[],3,0)=0,VLOOKUP(الحركات[[#This Row],[من صندوق]],Table1[[الصندوق]:[القيمة الشهرية]],3,0),VLOOKUP(الحركات[إلى صندوق],Table1[],3,0))</f>
        <v>500</v>
      </c>
      <c r="H62" s="22">
        <v>500</v>
      </c>
      <c r="I62" s="22"/>
      <c r="J62" t="s">
        <v>66</v>
      </c>
      <c r="L62" s="7" t="b">
        <f ca="1">AND(الحركات[[#This Row],[مدفوع من شهر]]&lt;=VALUE(TEXT($A$2,"YYYYMM")),الحركات[[#This Row],[الحالة]]="")</f>
        <v>1</v>
      </c>
      <c r="M62" s="7" t="str">
        <f>الحركات[من صندوق]&amp;"/"&amp;الحركات[إلى صندوق]</f>
        <v>توفير/صرف</v>
      </c>
      <c r="N62" s="7" t="str">
        <f>VLOOKUP(الحركات[من صندوق],Table1[],2,0)</f>
        <v>صرف</v>
      </c>
      <c r="O62" s="7" t="str">
        <f>VLOOKUP(الحركات[إلى صندوق],Table1[[الصندوق]:[نوعه]],2,0)</f>
        <v>خارجي</v>
      </c>
    </row>
    <row r="63" spans="1:15" x14ac:dyDescent="0.3">
      <c r="A63">
        <v>201803</v>
      </c>
      <c r="B63" s="3"/>
      <c r="C63" t="s">
        <v>15</v>
      </c>
      <c r="D63" s="17">
        <f>VLOOKUP(الحركات[[#This Row],[من صندوق]],Table5[],5,0)</f>
        <v>0</v>
      </c>
      <c r="E63" t="s">
        <v>14</v>
      </c>
      <c r="F63" s="17">
        <f>VLOOKUP(الحركات[[#This Row],[إلى صندوق]],Table5[[الصندوق]:[الرصيد الفعلي]],5,0)</f>
        <v>5025</v>
      </c>
      <c r="G63" s="17">
        <f>IF(VLOOKUP(الحركات[إلى صندوق],Table1[],3,0)=0,VLOOKUP(الحركات[[#This Row],[من صندوق]],Table1[[الصندوق]:[القيمة الشهرية]],3,0),VLOOKUP(الحركات[إلى صندوق],Table1[],3,0))</f>
        <v>285</v>
      </c>
      <c r="H63" s="22">
        <v>285</v>
      </c>
      <c r="I63" s="22"/>
      <c r="J63" t="s">
        <v>71</v>
      </c>
      <c r="L63" s="8" t="b">
        <f ca="1">AND(الحركات[[#This Row],[مدفوع من شهر]]&lt;=VALUE(TEXT($A$2,"YYYYMM")),الحركات[[#This Row],[الحالة]]="")</f>
        <v>1</v>
      </c>
      <c r="M63" s="8" t="str">
        <f>الحركات[من صندوق]&amp;"/"&amp;الحركات[إلى صندوق]</f>
        <v>ملابس/صرف</v>
      </c>
      <c r="N63" s="8" t="str">
        <f>VLOOKUP(الحركات[من صندوق],Table1[],2,0)</f>
        <v>صرف</v>
      </c>
      <c r="O63" s="8" t="str">
        <f>VLOOKUP(الحركات[إلى صندوق],Table1[[الصندوق]:[نوعه]],2,0)</f>
        <v>خارجي</v>
      </c>
    </row>
    <row r="64" spans="1:15" x14ac:dyDescent="0.3">
      <c r="A64">
        <v>201803</v>
      </c>
      <c r="B64" s="3"/>
      <c r="C64" t="s">
        <v>1</v>
      </c>
      <c r="D64" s="17">
        <f>VLOOKUP(الحركات[[#This Row],[من صندوق]],Table5[],5,0)</f>
        <v>0</v>
      </c>
      <c r="E64" t="s">
        <v>14</v>
      </c>
      <c r="F64" s="17">
        <f>VLOOKUP(الحركات[[#This Row],[إلى صندوق]],Table5[[الصندوق]:[الرصيد الفعلي]],5,0)</f>
        <v>5025</v>
      </c>
      <c r="G64" s="17">
        <f>IF(VLOOKUP(الحركات[إلى صندوق],Table1[],3,0)=0,VLOOKUP(الحركات[[#This Row],[من صندوق]],Table1[[الصندوق]:[القيمة الشهرية]],3,0),VLOOKUP(الحركات[إلى صندوق],Table1[],3,0))</f>
        <v>190</v>
      </c>
      <c r="H64" s="22">
        <v>190</v>
      </c>
      <c r="I64" s="22"/>
      <c r="J64" t="s">
        <v>72</v>
      </c>
      <c r="L64" s="8" t="b">
        <f ca="1">AND(الحركات[[#This Row],[مدفوع من شهر]]&lt;=VALUE(TEXT($A$2,"YYYYMM")),الحركات[[#This Row],[الحالة]]="")</f>
        <v>1</v>
      </c>
      <c r="M64" s="8" t="str">
        <f>الحركات[من صندوق]&amp;"/"&amp;الحركات[إلى صندوق]</f>
        <v>هدايا/صرف</v>
      </c>
      <c r="N64" s="8" t="str">
        <f>VLOOKUP(الحركات[من صندوق],Table1[],2,0)</f>
        <v>صرف</v>
      </c>
      <c r="O64" s="8" t="str">
        <f>VLOOKUP(الحركات[إلى صندوق],Table1[[الصندوق]:[نوعه]],2,0)</f>
        <v>خارجي</v>
      </c>
    </row>
    <row r="65" spans="1:15" x14ac:dyDescent="0.3">
      <c r="A65">
        <v>201803</v>
      </c>
      <c r="B65" s="3"/>
      <c r="C65" t="s">
        <v>3</v>
      </c>
      <c r="D65" s="18">
        <f>VLOOKUP(الحركات[[#This Row],[من صندوق]],Table5[],5,0)</f>
        <v>2000</v>
      </c>
      <c r="E65" t="s">
        <v>12</v>
      </c>
      <c r="F65" s="18">
        <f>VLOOKUP(الحركات[[#This Row],[إلى صندوق]],Table5[[الصندوق]:[الرصيد الفعلي]],5,0)</f>
        <v>400</v>
      </c>
      <c r="G65" s="18">
        <f>IF(VLOOKUP(الحركات[إلى صندوق],Table1[],3,0)=0,VLOOKUP(الحركات[[#This Row],[من صندوق]],Table1[[الصندوق]:[القيمة الشهرية]],3,0),VLOOKUP(الحركات[إلى صندوق],Table1[],3,0))</f>
        <v>400</v>
      </c>
      <c r="H65" s="22">
        <v>800</v>
      </c>
      <c r="I65" s="22"/>
      <c r="J65" t="s">
        <v>89</v>
      </c>
      <c r="L65" s="11" t="b">
        <f ca="1">AND(الحركات[[#This Row],[مدفوع من شهر]]&lt;=VALUE(TEXT($A$2,"YYYYMM")),الحركات[[#This Row],[الحالة]]="")</f>
        <v>1</v>
      </c>
      <c r="M65" s="11" t="str">
        <f>الحركات[من صندوق]&amp;"/"&amp;الحركات[إلى صندوق]</f>
        <v>مدارس/اجازات</v>
      </c>
      <c r="N65" s="11" t="str">
        <f>VLOOKUP(الحركات[من صندوق],Table1[],2,0)</f>
        <v>صرف</v>
      </c>
      <c r="O65" s="11" t="str">
        <f>VLOOKUP(الحركات[إلى صندوق],Table1[[الصندوق]:[نوعه]],2,0)</f>
        <v>صرف</v>
      </c>
    </row>
    <row r="66" spans="1:15" x14ac:dyDescent="0.3">
      <c r="A66">
        <v>201803</v>
      </c>
      <c r="B66" s="3"/>
      <c r="C66" t="s">
        <v>3</v>
      </c>
      <c r="D66" s="18">
        <f>VLOOKUP(الحركات[[#This Row],[من صندوق]],Table5[],5,0)</f>
        <v>2000</v>
      </c>
      <c r="E66" t="s">
        <v>9</v>
      </c>
      <c r="F66" s="18">
        <f>VLOOKUP(الحركات[[#This Row],[إلى صندوق]],Table5[[الصندوق]:[الرصيد الفعلي]],5,0)</f>
        <v>200</v>
      </c>
      <c r="G66" s="18">
        <f>IF(VLOOKUP(الحركات[إلى صندوق],Table1[],3,0)=0,VLOOKUP(الحركات[[#This Row],[من صندوق]],Table1[[الصندوق]:[القيمة الشهرية]],3,0),VLOOKUP(الحركات[إلى صندوق],Table1[],3,0))</f>
        <v>200</v>
      </c>
      <c r="H66" s="22">
        <v>200</v>
      </c>
      <c r="I66" s="22"/>
      <c r="J66" t="s">
        <v>89</v>
      </c>
      <c r="L66" s="11" t="b">
        <f ca="1">AND(الحركات[[#This Row],[مدفوع من شهر]]&lt;=VALUE(TEXT($A$2,"YYYYMM")),الحركات[[#This Row],[الحالة]]="")</f>
        <v>1</v>
      </c>
      <c r="M66" s="11" t="str">
        <f>الحركات[من صندوق]&amp;"/"&amp;الحركات[إلى صندوق]</f>
        <v>مدارس/دورات</v>
      </c>
      <c r="N66" s="11" t="str">
        <f>VLOOKUP(الحركات[من صندوق],Table1[],2,0)</f>
        <v>صرف</v>
      </c>
      <c r="O66" s="11" t="str">
        <f>VLOOKUP(الحركات[إلى صندوق],Table1[[الصندوق]:[نوعه]],2,0)</f>
        <v>صرف</v>
      </c>
    </row>
    <row r="67" spans="1:15" x14ac:dyDescent="0.3">
      <c r="A67">
        <v>201804</v>
      </c>
      <c r="B67" s="3"/>
      <c r="C67" t="s">
        <v>20</v>
      </c>
      <c r="D67" s="15">
        <f>VLOOKUP(الحركات[[#This Row],[من صندوق]],Table5[],5,0)</f>
        <v>-10000</v>
      </c>
      <c r="E67" t="s">
        <v>18</v>
      </c>
      <c r="F67" s="15">
        <f>VLOOKUP(الحركات[[#This Row],[إلى صندوق]],Table5[[الصندوق]:[الرصيد الفعلي]],5,0)</f>
        <v>225</v>
      </c>
      <c r="G67" s="15">
        <f>IF(VLOOKUP(الحركات[إلى صندوق],Table1[],3,0)=0,VLOOKUP(الحركات[[#This Row],[من صندوق]],Table1[[الصندوق]:[القيمة الشهرية]],3,0),VLOOKUP(الحركات[إلى صندوق],Table1[],3,0))</f>
        <v>10000</v>
      </c>
      <c r="H67" s="22">
        <v>10000</v>
      </c>
      <c r="I67" s="22"/>
      <c r="J67" t="s">
        <v>40</v>
      </c>
      <c r="L67" s="2" t="b">
        <f ca="1">AND(الحركات[[#This Row],[مدفوع من شهر]]&lt;=VALUE(TEXT($A$2,"YYYYMM")),الحركات[[#This Row],[الحالة]]="")</f>
        <v>1</v>
      </c>
      <c r="M67" s="2" t="str">
        <f>الحركات[من صندوق]&amp;"/"&amp;الحركات[إلى صندوق]</f>
        <v>الشركة/الراتب</v>
      </c>
      <c r="N67" s="2" t="str">
        <f>VLOOKUP(الحركات[من صندوق],Table1[],2,0)</f>
        <v>خارجي</v>
      </c>
      <c r="O67" s="2" t="str">
        <f>VLOOKUP(الحركات[إلى صندوق],Table1[[الصندوق]:[نوعه]],2,0)</f>
        <v>دخل</v>
      </c>
    </row>
    <row r="68" spans="1:15" x14ac:dyDescent="0.3">
      <c r="A68">
        <v>201804</v>
      </c>
      <c r="B68" s="3"/>
      <c r="C68" t="s">
        <v>18</v>
      </c>
      <c r="D68" s="15">
        <f>VLOOKUP(الحركات[[#This Row],[من صندوق]],Table5[],5,0)</f>
        <v>225</v>
      </c>
      <c r="E68" t="s">
        <v>11</v>
      </c>
      <c r="F68" s="15">
        <f>VLOOKUP(الحركات[[#This Row],[إلى صندوق]],Table5[[الصندوق]:[الرصيد الفعلي]],5,0)</f>
        <v>0</v>
      </c>
      <c r="G68" s="15">
        <f>IF(VLOOKUP(الحركات[إلى صندوق],Table1[],3,0)=0,VLOOKUP(الحركات[[#This Row],[من صندوق]],Table1[[الصندوق]:[القيمة الشهرية]],3,0),VLOOKUP(الحركات[إلى صندوق],Table1[],3,0))</f>
        <v>250</v>
      </c>
      <c r="H68" s="22">
        <v>250</v>
      </c>
      <c r="I68" s="22"/>
      <c r="J68" t="s">
        <v>47</v>
      </c>
      <c r="L68" s="2" t="b">
        <f ca="1">AND(الحركات[[#This Row],[مدفوع من شهر]]&lt;=VALUE(TEXT($A$2,"YYYYMM")),الحركات[[#This Row],[الحالة]]="")</f>
        <v>1</v>
      </c>
      <c r="M68" s="2" t="str">
        <f>الحركات[من صندوق]&amp;"/"&amp;الحركات[إلى صندوق]</f>
        <v>الراتب/فواتير</v>
      </c>
      <c r="N68" s="2" t="str">
        <f>VLOOKUP(الحركات[من صندوق],Table1[],2,0)</f>
        <v>دخل</v>
      </c>
      <c r="O68" s="2" t="str">
        <f>VLOOKUP(الحركات[إلى صندوق],Table1[[الصندوق]:[نوعه]],2,0)</f>
        <v>صرف</v>
      </c>
    </row>
    <row r="69" spans="1:15" x14ac:dyDescent="0.3">
      <c r="A69">
        <v>201804</v>
      </c>
      <c r="B69" s="3"/>
      <c r="C69" t="s">
        <v>18</v>
      </c>
      <c r="D69" s="15">
        <f>VLOOKUP(الحركات[[#This Row],[من صندوق]],Table5[],5,0)</f>
        <v>225</v>
      </c>
      <c r="E69" t="s">
        <v>13</v>
      </c>
      <c r="F69" s="15">
        <f>VLOOKUP(الحركات[[#This Row],[إلى صندوق]],Table5[[الصندوق]:[الرصيد الفعلي]],5,0)</f>
        <v>0</v>
      </c>
      <c r="G69" s="15">
        <f>IF(VLOOKUP(الحركات[إلى صندوق],Table1[],3,0)=0,VLOOKUP(الحركات[[#This Row],[من صندوق]],Table1[[الصندوق]:[القيمة الشهرية]],3,0),VLOOKUP(الحركات[إلى صندوق],Table1[],3,0))</f>
        <v>3800</v>
      </c>
      <c r="H69" s="22">
        <v>3800</v>
      </c>
      <c r="I69" s="22"/>
      <c r="J69" t="s">
        <v>48</v>
      </c>
      <c r="L69" s="2" t="b">
        <f ca="1">AND(الحركات[[#This Row],[مدفوع من شهر]]&lt;=VALUE(TEXT($A$2,"YYYYMM")),الحركات[[#This Row],[الحالة]]="")</f>
        <v>1</v>
      </c>
      <c r="M69" s="2" t="str">
        <f>الحركات[من صندوق]&amp;"/"&amp;الحركات[إلى صندوق]</f>
        <v>الراتب/مصاريف شهرية</v>
      </c>
      <c r="N69" s="2" t="str">
        <f>VLOOKUP(الحركات[من صندوق],Table1[],2,0)</f>
        <v>دخل</v>
      </c>
      <c r="O69" s="2" t="str">
        <f>VLOOKUP(الحركات[إلى صندوق],Table1[[الصندوق]:[نوعه]],2,0)</f>
        <v>صرف</v>
      </c>
    </row>
    <row r="70" spans="1:15" x14ac:dyDescent="0.3">
      <c r="A70">
        <v>201804</v>
      </c>
      <c r="B70" s="3"/>
      <c r="C70" t="s">
        <v>18</v>
      </c>
      <c r="D70" s="15">
        <f>VLOOKUP(الحركات[[#This Row],[من صندوق]],Table5[],5,0)</f>
        <v>225</v>
      </c>
      <c r="E70" t="s">
        <v>3</v>
      </c>
      <c r="F70" s="15">
        <f>VLOOKUP(الحركات[[#This Row],[إلى صندوق]],Table5[[الصندوق]:[الرصيد الفعلي]],5,0)</f>
        <v>2000</v>
      </c>
      <c r="G70" s="15">
        <f>IF(VLOOKUP(الحركات[إلى صندوق],Table1[],3,0)=0,VLOOKUP(الحركات[[#This Row],[من صندوق]],Table1[[الصندوق]:[القيمة الشهرية]],3,0),VLOOKUP(الحركات[إلى صندوق],Table1[],3,0))</f>
        <v>2000</v>
      </c>
      <c r="H70" s="22">
        <v>2000</v>
      </c>
      <c r="I70" s="22"/>
      <c r="J70" t="s">
        <v>49</v>
      </c>
      <c r="L70" s="2" t="b">
        <f ca="1">AND(الحركات[[#This Row],[مدفوع من شهر]]&lt;=VALUE(TEXT($A$2,"YYYYMM")),الحركات[[#This Row],[الحالة]]="")</f>
        <v>1</v>
      </c>
      <c r="M70" s="2" t="str">
        <f>الحركات[من صندوق]&amp;"/"&amp;الحركات[إلى صندوق]</f>
        <v>الراتب/مدارس</v>
      </c>
      <c r="N70" s="2" t="str">
        <f>VLOOKUP(الحركات[من صندوق],Table1[],2,0)</f>
        <v>دخل</v>
      </c>
      <c r="O70" s="2" t="str">
        <f>VLOOKUP(الحركات[إلى صندوق],Table1[[الصندوق]:[نوعه]],2,0)</f>
        <v>صرف</v>
      </c>
    </row>
    <row r="71" spans="1:15" x14ac:dyDescent="0.3">
      <c r="A71">
        <v>201804</v>
      </c>
      <c r="B71" s="3"/>
      <c r="C71" t="s">
        <v>18</v>
      </c>
      <c r="D71" s="15">
        <f>VLOOKUP(الحركات[[#This Row],[من صندوق]],Table5[],5,0)</f>
        <v>225</v>
      </c>
      <c r="E71" t="s">
        <v>21</v>
      </c>
      <c r="F71" s="15">
        <f>VLOOKUP(الحركات[[#This Row],[إلى صندوق]],Table5[[الصندوق]:[الرصيد الفعلي]],5,0)</f>
        <v>1500</v>
      </c>
      <c r="G71" s="15">
        <f>IF(VLOOKUP(الحركات[إلى صندوق],Table1[],3,0)=0,VLOOKUP(الحركات[[#This Row],[من صندوق]],Table1[[الصندوق]:[القيمة الشهرية]],3,0),VLOOKUP(الحركات[إلى صندوق],Table1[],3,0))</f>
        <v>1500</v>
      </c>
      <c r="H71" s="22">
        <v>1500</v>
      </c>
      <c r="I71" s="22"/>
      <c r="J71" t="s">
        <v>50</v>
      </c>
      <c r="L71" s="2" t="b">
        <f ca="1">AND(الحركات[[#This Row],[مدفوع من شهر]]&lt;=VALUE(TEXT($A$2,"YYYYMM")),الحركات[[#This Row],[الحالة]]="")</f>
        <v>1</v>
      </c>
      <c r="M71" s="2" t="str">
        <f>الحركات[من صندوق]&amp;"/"&amp;الحركات[إلى صندوق]</f>
        <v>الراتب/ايجار المنزل</v>
      </c>
      <c r="N71" s="2" t="str">
        <f>VLOOKUP(الحركات[من صندوق],Table1[],2,0)</f>
        <v>دخل</v>
      </c>
      <c r="O71" s="2" t="str">
        <f>VLOOKUP(الحركات[إلى صندوق],Table1[[الصندوق]:[نوعه]],2,0)</f>
        <v>صرف</v>
      </c>
    </row>
    <row r="72" spans="1:15" x14ac:dyDescent="0.3">
      <c r="A72">
        <v>201804</v>
      </c>
      <c r="B72" s="3"/>
      <c r="C72" t="s">
        <v>18</v>
      </c>
      <c r="D72" s="15">
        <f>VLOOKUP(الحركات[[#This Row],[من صندوق]],Table5[],5,0)</f>
        <v>225</v>
      </c>
      <c r="E72" t="s">
        <v>0</v>
      </c>
      <c r="F72" s="15">
        <f>VLOOKUP(الحركات[[#This Row],[إلى صندوق]],Table5[[الصندوق]:[الرصيد الفعلي]],5,0)</f>
        <v>0</v>
      </c>
      <c r="G72" s="15">
        <f>IF(VLOOKUP(الحركات[إلى صندوق],Table1[],3,0)=0,VLOOKUP(الحركات[[#This Row],[من صندوق]],Table1[[الصندوق]:[القيمة الشهرية]],3,0),VLOOKUP(الحركات[إلى صندوق],Table1[],3,0))</f>
        <v>500</v>
      </c>
      <c r="H72" s="22">
        <v>500</v>
      </c>
      <c r="I72" s="22"/>
      <c r="J72" t="s">
        <v>51</v>
      </c>
      <c r="L72" s="2" t="b">
        <f ca="1">AND(الحركات[[#This Row],[مدفوع من شهر]]&lt;=VALUE(TEXT($A$2,"YYYYMM")),الحركات[[#This Row],[الحالة]]="")</f>
        <v>1</v>
      </c>
      <c r="M72" s="2" t="str">
        <f>الحركات[من صندوق]&amp;"/"&amp;الحركات[إلى صندوق]</f>
        <v>الراتب/توفير</v>
      </c>
      <c r="N72" s="2" t="str">
        <f>VLOOKUP(الحركات[من صندوق],Table1[],2,0)</f>
        <v>دخل</v>
      </c>
      <c r="O72" s="2" t="str">
        <f>VLOOKUP(الحركات[إلى صندوق],Table1[[الصندوق]:[نوعه]],2,0)</f>
        <v>صرف</v>
      </c>
    </row>
    <row r="73" spans="1:15" x14ac:dyDescent="0.3">
      <c r="A73">
        <v>201804</v>
      </c>
      <c r="B73" s="3"/>
      <c r="C73" t="s">
        <v>18</v>
      </c>
      <c r="D73" s="15">
        <f>VLOOKUP(الحركات[[#This Row],[من صندوق]],Table5[],5,0)</f>
        <v>225</v>
      </c>
      <c r="E73" t="s">
        <v>12</v>
      </c>
      <c r="F73" s="15">
        <f>VLOOKUP(الحركات[[#This Row],[إلى صندوق]],Table5[[الصندوق]:[الرصيد الفعلي]],5,0)</f>
        <v>400</v>
      </c>
      <c r="G73" s="15">
        <f>IF(VLOOKUP(الحركات[إلى صندوق],Table1[],3,0)=0,VLOOKUP(الحركات[[#This Row],[من صندوق]],Table1[[الصندوق]:[القيمة الشهرية]],3,0),VLOOKUP(الحركات[إلى صندوق],Table1[],3,0))</f>
        <v>400</v>
      </c>
      <c r="H73" s="22">
        <v>400</v>
      </c>
      <c r="I73" s="22"/>
      <c r="J73" t="s">
        <v>52</v>
      </c>
      <c r="L73" s="2" t="b">
        <f ca="1">AND(الحركات[[#This Row],[مدفوع من شهر]]&lt;=VALUE(TEXT($A$2,"YYYYMM")),الحركات[[#This Row],[الحالة]]="")</f>
        <v>1</v>
      </c>
      <c r="M73" s="2" t="str">
        <f>الحركات[من صندوق]&amp;"/"&amp;الحركات[إلى صندوق]</f>
        <v>الراتب/اجازات</v>
      </c>
      <c r="N73" s="2" t="str">
        <f>VLOOKUP(الحركات[من صندوق],Table1[],2,0)</f>
        <v>دخل</v>
      </c>
      <c r="O73" s="2" t="str">
        <f>VLOOKUP(الحركات[إلى صندوق],Table1[[الصندوق]:[نوعه]],2,0)</f>
        <v>صرف</v>
      </c>
    </row>
    <row r="74" spans="1:15" x14ac:dyDescent="0.3">
      <c r="A74">
        <v>201804</v>
      </c>
      <c r="B74" s="3"/>
      <c r="C74" t="s">
        <v>18</v>
      </c>
      <c r="D74" s="15">
        <f>VLOOKUP(الحركات[[#This Row],[من صندوق]],Table5[],5,0)</f>
        <v>225</v>
      </c>
      <c r="E74" t="s">
        <v>9</v>
      </c>
      <c r="F74" s="15">
        <f>VLOOKUP(الحركات[[#This Row],[إلى صندوق]],Table5[[الصندوق]:[الرصيد الفعلي]],5,0)</f>
        <v>200</v>
      </c>
      <c r="G74" s="15">
        <f>IF(VLOOKUP(الحركات[إلى صندوق],Table1[],3,0)=0,VLOOKUP(الحركات[[#This Row],[من صندوق]],Table1[[الصندوق]:[القيمة الشهرية]],3,0),VLOOKUP(الحركات[إلى صندوق],Table1[],3,0))</f>
        <v>200</v>
      </c>
      <c r="H74" s="22">
        <v>200</v>
      </c>
      <c r="I74" s="22"/>
      <c r="J74" t="s">
        <v>53</v>
      </c>
      <c r="L74" s="2" t="b">
        <f ca="1">AND(الحركات[[#This Row],[مدفوع من شهر]]&lt;=VALUE(TEXT($A$2,"YYYYMM")),الحركات[[#This Row],[الحالة]]="")</f>
        <v>1</v>
      </c>
      <c r="M74" s="2" t="str">
        <f>الحركات[من صندوق]&amp;"/"&amp;الحركات[إلى صندوق]</f>
        <v>الراتب/دورات</v>
      </c>
      <c r="N74" s="2" t="str">
        <f>VLOOKUP(الحركات[من صندوق],Table1[],2,0)</f>
        <v>دخل</v>
      </c>
      <c r="O74" s="2" t="str">
        <f>VLOOKUP(الحركات[إلى صندوق],Table1[[الصندوق]:[نوعه]],2,0)</f>
        <v>صرف</v>
      </c>
    </row>
    <row r="75" spans="1:15" x14ac:dyDescent="0.3">
      <c r="A75">
        <v>201804</v>
      </c>
      <c r="B75" s="3"/>
      <c r="C75" t="s">
        <v>18</v>
      </c>
      <c r="D75" s="15">
        <f>VLOOKUP(الحركات[[#This Row],[من صندوق]],Table5[],5,0)</f>
        <v>225</v>
      </c>
      <c r="E75" t="s">
        <v>22</v>
      </c>
      <c r="F75" s="15">
        <f>VLOOKUP(الحركات[[#This Row],[إلى صندوق]],Table5[[الصندوق]:[الرصيد الفعلي]],5,0)</f>
        <v>200</v>
      </c>
      <c r="G75" s="15">
        <f>IF(VLOOKUP(الحركات[إلى صندوق],Table1[],3,0)=0,VLOOKUP(الحركات[[#This Row],[من صندوق]],Table1[[الصندوق]:[القيمة الشهرية]],3,0),VLOOKUP(الحركات[إلى صندوق],Table1[],3,0))</f>
        <v>200</v>
      </c>
      <c r="H75" s="22">
        <v>200</v>
      </c>
      <c r="I75" s="22"/>
      <c r="J75" t="s">
        <v>54</v>
      </c>
      <c r="L75" s="2" t="b">
        <f ca="1">AND(الحركات[[#This Row],[مدفوع من شهر]]&lt;=VALUE(TEXT($A$2,"YYYYMM")),الحركات[[#This Row],[الحالة]]="")</f>
        <v>1</v>
      </c>
      <c r="M75" s="2" t="str">
        <f>الحركات[من صندوق]&amp;"/"&amp;الحركات[إلى صندوق]</f>
        <v>الراتب/زكاة</v>
      </c>
      <c r="N75" s="2" t="str">
        <f>VLOOKUP(الحركات[من صندوق],Table1[],2,0)</f>
        <v>دخل</v>
      </c>
      <c r="O75" s="2" t="str">
        <f>VLOOKUP(الحركات[إلى صندوق],Table1[[الصندوق]:[نوعه]],2,0)</f>
        <v>صرف</v>
      </c>
    </row>
    <row r="76" spans="1:15" x14ac:dyDescent="0.3">
      <c r="A76">
        <v>201804</v>
      </c>
      <c r="B76" s="3"/>
      <c r="C76" t="s">
        <v>18</v>
      </c>
      <c r="D76" s="15">
        <f>VLOOKUP(الحركات[[#This Row],[من صندوق]],Table5[],5,0)</f>
        <v>225</v>
      </c>
      <c r="E76" t="s">
        <v>10</v>
      </c>
      <c r="F76" s="15">
        <f>VLOOKUP(الحركات[[#This Row],[إلى صندوق]],Table5[[الصندوق]:[الرصيد الفعلي]],5,0)</f>
        <v>250</v>
      </c>
      <c r="G76" s="15">
        <f>IF(VLOOKUP(الحركات[إلى صندوق],Table1[],3,0)=0,VLOOKUP(الحركات[[#This Row],[من صندوق]],Table1[[الصندوق]:[القيمة الشهرية]],3,0),VLOOKUP(الحركات[إلى صندوق],Table1[],3,0))</f>
        <v>250</v>
      </c>
      <c r="H76" s="22">
        <v>250</v>
      </c>
      <c r="I76" s="22"/>
      <c r="J76" t="s">
        <v>55</v>
      </c>
      <c r="L76" s="2" t="b">
        <f ca="1">AND(الحركات[[#This Row],[مدفوع من شهر]]&lt;=VALUE(TEXT($A$2,"YYYYMM")),الحركات[[#This Row],[الحالة]]="")</f>
        <v>1</v>
      </c>
      <c r="M76" s="2" t="str">
        <f>الحركات[من صندوق]&amp;"/"&amp;الحركات[إلى صندوق]</f>
        <v>الراتب/صيانة السيارة</v>
      </c>
      <c r="N76" s="2" t="str">
        <f>VLOOKUP(الحركات[من صندوق],Table1[],2,0)</f>
        <v>دخل</v>
      </c>
      <c r="O76" s="2" t="str">
        <f>VLOOKUP(الحركات[إلى صندوق],Table1[[الصندوق]:[نوعه]],2,0)</f>
        <v>صرف</v>
      </c>
    </row>
    <row r="77" spans="1:15" x14ac:dyDescent="0.3">
      <c r="A77">
        <v>201804</v>
      </c>
      <c r="B77" s="3"/>
      <c r="C77" t="s">
        <v>18</v>
      </c>
      <c r="D77" s="15">
        <f>VLOOKUP(الحركات[[#This Row],[من صندوق]],Table5[],5,0)</f>
        <v>225</v>
      </c>
      <c r="E77" t="s">
        <v>15</v>
      </c>
      <c r="F77" s="15">
        <f>VLOOKUP(الحركات[[#This Row],[إلى صندوق]],Table5[[الصندوق]:[الرصيد الفعلي]],5,0)</f>
        <v>0</v>
      </c>
      <c r="G77" s="15">
        <f>IF(VLOOKUP(الحركات[إلى صندوق],Table1[],3,0)=0,VLOOKUP(الحركات[[#This Row],[من صندوق]],Table1[[الصندوق]:[القيمة الشهرية]],3,0),VLOOKUP(الحركات[إلى صندوق],Table1[],3,0))</f>
        <v>285</v>
      </c>
      <c r="H77" s="22">
        <v>285</v>
      </c>
      <c r="I77" s="22"/>
      <c r="J77" t="s">
        <v>56</v>
      </c>
      <c r="L77" s="2" t="b">
        <f ca="1">AND(الحركات[[#This Row],[مدفوع من شهر]]&lt;=VALUE(TEXT($A$2,"YYYYMM")),الحركات[[#This Row],[الحالة]]="")</f>
        <v>1</v>
      </c>
      <c r="M77" s="2" t="str">
        <f>الحركات[من صندوق]&amp;"/"&amp;الحركات[إلى صندوق]</f>
        <v>الراتب/ملابس</v>
      </c>
      <c r="N77" s="2" t="str">
        <f>VLOOKUP(الحركات[من صندوق],Table1[],2,0)</f>
        <v>دخل</v>
      </c>
      <c r="O77" s="2" t="str">
        <f>VLOOKUP(الحركات[إلى صندوق],Table1[[الصندوق]:[نوعه]],2,0)</f>
        <v>صرف</v>
      </c>
    </row>
    <row r="78" spans="1:15" x14ac:dyDescent="0.3">
      <c r="A78">
        <v>201804</v>
      </c>
      <c r="B78" s="3"/>
      <c r="C78" t="s">
        <v>18</v>
      </c>
      <c r="D78" s="15">
        <f>VLOOKUP(الحركات[[#This Row],[من صندوق]],Table5[],5,0)</f>
        <v>225</v>
      </c>
      <c r="E78" t="s">
        <v>1</v>
      </c>
      <c r="F78" s="15">
        <f>VLOOKUP(الحركات[[#This Row],[إلى صندوق]],Table5[[الصندوق]:[الرصيد الفعلي]],5,0)</f>
        <v>0</v>
      </c>
      <c r="G78" s="15">
        <f>IF(VLOOKUP(الحركات[إلى صندوق],Table1[],3,0)=0,VLOOKUP(الحركات[[#This Row],[من صندوق]],Table1[[الصندوق]:[القيمة الشهرية]],3,0),VLOOKUP(الحركات[إلى صندوق],Table1[],3,0))</f>
        <v>190</v>
      </c>
      <c r="H78" s="22">
        <v>190</v>
      </c>
      <c r="I78" s="22"/>
      <c r="J78" t="s">
        <v>57</v>
      </c>
      <c r="L78" s="2" t="b">
        <f ca="1">AND(الحركات[[#This Row],[مدفوع من شهر]]&lt;=VALUE(TEXT($A$2,"YYYYMM")),الحركات[[#This Row],[الحالة]]="")</f>
        <v>1</v>
      </c>
      <c r="M78" s="2" t="str">
        <f>الحركات[من صندوق]&amp;"/"&amp;الحركات[إلى صندوق]</f>
        <v>الراتب/هدايا</v>
      </c>
      <c r="N78" s="2" t="str">
        <f>VLOOKUP(الحركات[من صندوق],Table1[],2,0)</f>
        <v>دخل</v>
      </c>
      <c r="O78" s="2" t="str">
        <f>VLOOKUP(الحركات[إلى صندوق],Table1[[الصندوق]:[نوعه]],2,0)</f>
        <v>صرف</v>
      </c>
    </row>
    <row r="79" spans="1:15" x14ac:dyDescent="0.3">
      <c r="A79">
        <v>201804</v>
      </c>
      <c r="B79" s="3"/>
      <c r="C79" t="s">
        <v>18</v>
      </c>
      <c r="D79" s="15">
        <f>VLOOKUP(الحركات[[#This Row],[من صندوق]],Table5[],5,0)</f>
        <v>225</v>
      </c>
      <c r="E79" t="s">
        <v>4</v>
      </c>
      <c r="F79" s="15">
        <f>VLOOKUP(الحركات[[#This Row],[إلى صندوق]],Table5[[الصندوق]:[الرصيد الفعلي]],5,0)</f>
        <v>200</v>
      </c>
      <c r="G79" s="15">
        <f>IF(VLOOKUP(الحركات[إلى صندوق],Table1[],3,0)=0,VLOOKUP(الحركات[[#This Row],[من صندوق]],Table1[[الصندوق]:[القيمة الشهرية]],3,0),VLOOKUP(الحركات[إلى صندوق],Table1[],3,0))</f>
        <v>200</v>
      </c>
      <c r="H79" s="22">
        <v>200</v>
      </c>
      <c r="I79" s="22"/>
      <c r="J79" t="s">
        <v>58</v>
      </c>
      <c r="L79" s="2" t="b">
        <f ca="1">AND(الحركات[[#This Row],[مدفوع من شهر]]&lt;=VALUE(TEXT($A$2,"YYYYMM")),الحركات[[#This Row],[الحالة]]="")</f>
        <v>1</v>
      </c>
      <c r="M79" s="2" t="str">
        <f>الحركات[من صندوق]&amp;"/"&amp;الحركات[إلى صندوق]</f>
        <v>الراتب/طوارئ</v>
      </c>
      <c r="N79" s="2" t="str">
        <f>VLOOKUP(الحركات[من صندوق],Table1[],2,0)</f>
        <v>دخل</v>
      </c>
      <c r="O79" s="2" t="str">
        <f>VLOOKUP(الحركات[إلى صندوق],Table1[[الصندوق]:[نوعه]],2,0)</f>
        <v>صرف</v>
      </c>
    </row>
    <row r="80" spans="1:15" x14ac:dyDescent="0.3">
      <c r="A80">
        <v>201804</v>
      </c>
      <c r="B80" s="3"/>
      <c r="C80" t="s">
        <v>11</v>
      </c>
      <c r="D80" s="16">
        <f>VLOOKUP(الحركات[[#This Row],[من صندوق]],Table5[],5,0)</f>
        <v>0</v>
      </c>
      <c r="E80" t="s">
        <v>14</v>
      </c>
      <c r="F80" s="16">
        <f>VLOOKUP(الحركات[[#This Row],[إلى صندوق]],Table5[[الصندوق]:[الرصيد الفعلي]],5,0)</f>
        <v>5025</v>
      </c>
      <c r="G80" s="16">
        <f>IF(VLOOKUP(الحركات[إلى صندوق],Table1[],3,0)=0,VLOOKUP(الحركات[[#This Row],[من صندوق]],Table1[[الصندوق]:[القيمة الشهرية]],3,0),VLOOKUP(الحركات[إلى صندوق],Table1[],3,0))</f>
        <v>250</v>
      </c>
      <c r="H80" s="22">
        <v>250</v>
      </c>
      <c r="I80" s="22"/>
      <c r="J80" t="s">
        <v>59</v>
      </c>
      <c r="L80" s="7" t="b">
        <f ca="1">AND(الحركات[[#This Row],[مدفوع من شهر]]&lt;=VALUE(TEXT($A$2,"YYYYMM")),الحركات[[#This Row],[الحالة]]="")</f>
        <v>1</v>
      </c>
      <c r="M80" s="7" t="str">
        <f>الحركات[من صندوق]&amp;"/"&amp;الحركات[إلى صندوق]</f>
        <v>فواتير/صرف</v>
      </c>
      <c r="N80" s="7" t="str">
        <f>VLOOKUP(الحركات[من صندوق],Table1[],2,0)</f>
        <v>صرف</v>
      </c>
      <c r="O80" s="7" t="str">
        <f>VLOOKUP(الحركات[إلى صندوق],Table1[[الصندوق]:[نوعه]],2,0)</f>
        <v>خارجي</v>
      </c>
    </row>
    <row r="81" spans="1:15" x14ac:dyDescent="0.3">
      <c r="A81">
        <v>201804</v>
      </c>
      <c r="B81" s="3"/>
      <c r="C81" t="s">
        <v>13</v>
      </c>
      <c r="D81" s="16">
        <f>VLOOKUP(الحركات[[#This Row],[من صندوق]],Table5[],5,0)</f>
        <v>0</v>
      </c>
      <c r="E81" t="s">
        <v>14</v>
      </c>
      <c r="F81" s="16">
        <f>VLOOKUP(الحركات[[#This Row],[إلى صندوق]],Table5[[الصندوق]:[الرصيد الفعلي]],5,0)</f>
        <v>5025</v>
      </c>
      <c r="G81" s="16">
        <f>IF(VLOOKUP(الحركات[إلى صندوق],Table1[],3,0)=0,VLOOKUP(الحركات[[#This Row],[من صندوق]],Table1[[الصندوق]:[القيمة الشهرية]],3,0),VLOOKUP(الحركات[إلى صندوق],Table1[],3,0))</f>
        <v>3800</v>
      </c>
      <c r="H81" s="22">
        <v>3800</v>
      </c>
      <c r="I81" s="22"/>
      <c r="J81" t="s">
        <v>60</v>
      </c>
      <c r="L81" s="7" t="b">
        <f ca="1">AND(الحركات[[#This Row],[مدفوع من شهر]]&lt;=VALUE(TEXT($A$2,"YYYYMM")),الحركات[[#This Row],[الحالة]]="")</f>
        <v>1</v>
      </c>
      <c r="M81" s="7" t="str">
        <f>الحركات[من صندوق]&amp;"/"&amp;الحركات[إلى صندوق]</f>
        <v>مصاريف شهرية/صرف</v>
      </c>
      <c r="N81" s="7" t="str">
        <f>VLOOKUP(الحركات[من صندوق],Table1[],2,0)</f>
        <v>صرف</v>
      </c>
      <c r="O81" s="7" t="str">
        <f>VLOOKUP(الحركات[إلى صندوق],Table1[[الصندوق]:[نوعه]],2,0)</f>
        <v>خارجي</v>
      </c>
    </row>
    <row r="82" spans="1:15" x14ac:dyDescent="0.3">
      <c r="A82">
        <v>201804</v>
      </c>
      <c r="B82" s="3"/>
      <c r="C82" t="s">
        <v>21</v>
      </c>
      <c r="D82" s="16">
        <f>VLOOKUP(الحركات[[#This Row],[من صندوق]],Table5[],5,0)</f>
        <v>1500</v>
      </c>
      <c r="E82" t="s">
        <v>14</v>
      </c>
      <c r="F82" s="16">
        <f>VLOOKUP(الحركات[[#This Row],[إلى صندوق]],Table5[[الصندوق]:[الرصيد الفعلي]],5,0)</f>
        <v>5025</v>
      </c>
      <c r="G82" s="16">
        <f>IF(VLOOKUP(الحركات[إلى صندوق],Table1[],3,0)=0,VLOOKUP(الحركات[[#This Row],[من صندوق]],Table1[[الصندوق]:[القيمة الشهرية]],3,0),VLOOKUP(الحركات[إلى صندوق],Table1[],3,0))</f>
        <v>1500</v>
      </c>
      <c r="H82" s="22">
        <v>9000</v>
      </c>
      <c r="I82" s="22"/>
      <c r="J82" t="s">
        <v>64</v>
      </c>
      <c r="L82" s="7" t="b">
        <f ca="1">AND(الحركات[[#This Row],[مدفوع من شهر]]&lt;=VALUE(TEXT($A$2,"YYYYMM")),الحركات[[#This Row],[الحالة]]="")</f>
        <v>1</v>
      </c>
      <c r="M82" s="7" t="str">
        <f>الحركات[من صندوق]&amp;"/"&amp;الحركات[إلى صندوق]</f>
        <v>ايجار المنزل/صرف</v>
      </c>
      <c r="N82" s="7" t="str">
        <f>VLOOKUP(الحركات[من صندوق],Table1[],2,0)</f>
        <v>صرف</v>
      </c>
      <c r="O82" s="7" t="str">
        <f>VLOOKUP(الحركات[إلى صندوق],Table1[[الصندوق]:[نوعه]],2,0)</f>
        <v>خارجي</v>
      </c>
    </row>
    <row r="83" spans="1:15" x14ac:dyDescent="0.3">
      <c r="A83">
        <v>201804</v>
      </c>
      <c r="B83" s="3"/>
      <c r="C83" t="s">
        <v>0</v>
      </c>
      <c r="D83" s="16">
        <f>VLOOKUP(الحركات[[#This Row],[من صندوق]],Table5[],5,0)</f>
        <v>0</v>
      </c>
      <c r="E83" t="s">
        <v>14</v>
      </c>
      <c r="F83" s="16">
        <f>VLOOKUP(الحركات[[#This Row],[إلى صندوق]],Table5[[الصندوق]:[الرصيد الفعلي]],5,0)</f>
        <v>5025</v>
      </c>
      <c r="G83" s="16">
        <f>IF(VLOOKUP(الحركات[إلى صندوق],Table1[],3,0)=0,VLOOKUP(الحركات[[#This Row],[من صندوق]],Table1[[الصندوق]:[القيمة الشهرية]],3,0),VLOOKUP(الحركات[إلى صندوق],Table1[],3,0))</f>
        <v>500</v>
      </c>
      <c r="H83" s="22">
        <v>500</v>
      </c>
      <c r="I83" s="22"/>
      <c r="J83" t="s">
        <v>66</v>
      </c>
      <c r="L83" s="7" t="b">
        <f ca="1">AND(الحركات[[#This Row],[مدفوع من شهر]]&lt;=VALUE(TEXT($A$2,"YYYYMM")),الحركات[[#This Row],[الحالة]]="")</f>
        <v>1</v>
      </c>
      <c r="M83" s="7" t="str">
        <f>الحركات[من صندوق]&amp;"/"&amp;الحركات[إلى صندوق]</f>
        <v>توفير/صرف</v>
      </c>
      <c r="N83" s="7" t="str">
        <f>VLOOKUP(الحركات[من صندوق],Table1[],2,0)</f>
        <v>صرف</v>
      </c>
      <c r="O83" s="7" t="str">
        <f>VLOOKUP(الحركات[إلى صندوق],Table1[[الصندوق]:[نوعه]],2,0)</f>
        <v>خارجي</v>
      </c>
    </row>
    <row r="84" spans="1:15" x14ac:dyDescent="0.3">
      <c r="A84">
        <v>201804</v>
      </c>
      <c r="B84" s="3"/>
      <c r="C84" t="s">
        <v>15</v>
      </c>
      <c r="D84" s="17">
        <f>VLOOKUP(الحركات[[#This Row],[من صندوق]],Table5[],5,0)</f>
        <v>0</v>
      </c>
      <c r="E84" t="s">
        <v>14</v>
      </c>
      <c r="F84" s="17">
        <f>VLOOKUP(الحركات[[#This Row],[إلى صندوق]],Table5[[الصندوق]:[الرصيد الفعلي]],5,0)</f>
        <v>5025</v>
      </c>
      <c r="G84" s="17">
        <f>IF(VLOOKUP(الحركات[إلى صندوق],Table1[],3,0)=0,VLOOKUP(الحركات[[#This Row],[من صندوق]],Table1[[الصندوق]:[القيمة الشهرية]],3,0),VLOOKUP(الحركات[إلى صندوق],Table1[],3,0))</f>
        <v>285</v>
      </c>
      <c r="H84" s="22">
        <v>285</v>
      </c>
      <c r="I84" s="22"/>
      <c r="J84" t="s">
        <v>71</v>
      </c>
      <c r="L84" s="8" t="b">
        <f ca="1">AND(الحركات[[#This Row],[مدفوع من شهر]]&lt;=VALUE(TEXT($A$2,"YYYYMM")),الحركات[[#This Row],[الحالة]]="")</f>
        <v>1</v>
      </c>
      <c r="M84" s="8" t="str">
        <f>الحركات[من صندوق]&amp;"/"&amp;الحركات[إلى صندوق]</f>
        <v>ملابس/صرف</v>
      </c>
      <c r="N84" s="8" t="str">
        <f>VLOOKUP(الحركات[من صندوق],Table1[],2,0)</f>
        <v>صرف</v>
      </c>
      <c r="O84" s="8" t="str">
        <f>VLOOKUP(الحركات[إلى صندوق],Table1[[الصندوق]:[نوعه]],2,0)</f>
        <v>خارجي</v>
      </c>
    </row>
    <row r="85" spans="1:15" x14ac:dyDescent="0.3">
      <c r="A85">
        <v>201804</v>
      </c>
      <c r="B85" s="3"/>
      <c r="C85" t="s">
        <v>1</v>
      </c>
      <c r="D85" s="17">
        <f>VLOOKUP(الحركات[[#This Row],[من صندوق]],Table5[],5,0)</f>
        <v>0</v>
      </c>
      <c r="E85" t="s">
        <v>14</v>
      </c>
      <c r="F85" s="17">
        <f>VLOOKUP(الحركات[[#This Row],[إلى صندوق]],Table5[[الصندوق]:[الرصيد الفعلي]],5,0)</f>
        <v>5025</v>
      </c>
      <c r="G85" s="17">
        <f>IF(VLOOKUP(الحركات[إلى صندوق],Table1[],3,0)=0,VLOOKUP(الحركات[[#This Row],[من صندوق]],Table1[[الصندوق]:[القيمة الشهرية]],3,0),VLOOKUP(الحركات[إلى صندوق],Table1[],3,0))</f>
        <v>190</v>
      </c>
      <c r="H85" s="22">
        <v>190</v>
      </c>
      <c r="I85" s="22"/>
      <c r="J85" t="s">
        <v>72</v>
      </c>
      <c r="L85" s="8" t="b">
        <f ca="1">AND(الحركات[[#This Row],[مدفوع من شهر]]&lt;=VALUE(TEXT($A$2,"YYYYMM")),الحركات[[#This Row],[الحالة]]="")</f>
        <v>1</v>
      </c>
      <c r="M85" s="8" t="str">
        <f>الحركات[من صندوق]&amp;"/"&amp;الحركات[إلى صندوق]</f>
        <v>هدايا/صرف</v>
      </c>
      <c r="N85" s="8" t="str">
        <f>VLOOKUP(الحركات[من صندوق],Table1[],2,0)</f>
        <v>صرف</v>
      </c>
      <c r="O85" s="8" t="str">
        <f>VLOOKUP(الحركات[إلى صندوق],Table1[[الصندوق]:[نوعه]],2,0)</f>
        <v>خارجي</v>
      </c>
    </row>
    <row r="86" spans="1:15" x14ac:dyDescent="0.3">
      <c r="A86">
        <v>201804</v>
      </c>
      <c r="B86" s="3"/>
      <c r="C86" t="s">
        <v>3</v>
      </c>
      <c r="D86" s="18">
        <f>VLOOKUP(الحركات[[#This Row],[من صندوق]],Table5[],5,0)</f>
        <v>2000</v>
      </c>
      <c r="E86" t="s">
        <v>21</v>
      </c>
      <c r="F86" s="18">
        <f>VLOOKUP(الحركات[[#This Row],[إلى صندوق]],Table5[[الصندوق]:[الرصيد الفعلي]],5,0)</f>
        <v>1500</v>
      </c>
      <c r="G86" s="18">
        <f>IF(VLOOKUP(الحركات[إلى صندوق],Table1[],3,0)=0,VLOOKUP(الحركات[[#This Row],[من صندوق]],Table1[[الصندوق]:[القيمة الشهرية]],3,0),VLOOKUP(الحركات[إلى صندوق],Table1[],3,0))</f>
        <v>1500</v>
      </c>
      <c r="H86" s="22">
        <v>3000</v>
      </c>
      <c r="I86" s="22"/>
      <c r="J86" t="s">
        <v>89</v>
      </c>
      <c r="L86" s="11" t="b">
        <f ca="1">AND(الحركات[[#This Row],[مدفوع من شهر]]&lt;=VALUE(TEXT($A$2,"YYYYMM")),الحركات[[#This Row],[الحالة]]="")</f>
        <v>1</v>
      </c>
      <c r="M86" s="11" t="str">
        <f>الحركات[من صندوق]&amp;"/"&amp;الحركات[إلى صندوق]</f>
        <v>مدارس/ايجار المنزل</v>
      </c>
      <c r="N86" s="11" t="str">
        <f>VLOOKUP(الحركات[من صندوق],Table1[],2,0)</f>
        <v>صرف</v>
      </c>
      <c r="O86" s="11" t="str">
        <f>VLOOKUP(الحركات[إلى صندوق],Table1[[الصندوق]:[نوعه]],2,0)</f>
        <v>صرف</v>
      </c>
    </row>
    <row r="87" spans="1:15" x14ac:dyDescent="0.3">
      <c r="A87">
        <v>201804</v>
      </c>
      <c r="B87" s="3"/>
      <c r="C87" t="s">
        <v>12</v>
      </c>
      <c r="D87" s="19">
        <f>VLOOKUP(الحركات[[#This Row],[من صندوق]],Table5[],5,0)</f>
        <v>400</v>
      </c>
      <c r="E87" t="s">
        <v>21</v>
      </c>
      <c r="F87" s="19">
        <f>VLOOKUP(الحركات[[#This Row],[إلى صندوق]],Table5[[الصندوق]:[الرصيد الفعلي]],5,0)</f>
        <v>1500</v>
      </c>
      <c r="G87" s="19">
        <f>IF(VLOOKUP(الحركات[إلى صندوق],Table1[],3,0)=0,VLOOKUP(الحركات[[#This Row],[من صندوق]],Table1[[الصندوق]:[القيمة الشهرية]],3,0),VLOOKUP(الحركات[إلى صندوق],Table1[],3,0))</f>
        <v>1500</v>
      </c>
      <c r="H87" s="22">
        <v>1600</v>
      </c>
      <c r="I87" s="22"/>
      <c r="J87" t="s">
        <v>90</v>
      </c>
      <c r="L87" s="12" t="b">
        <f ca="1">AND(الحركات[[#This Row],[مدفوع من شهر]]&lt;=VALUE(TEXT($A$2,"YYYYMM")),الحركات[[#This Row],[الحالة]]="")</f>
        <v>1</v>
      </c>
      <c r="M87" s="12" t="str">
        <f>الحركات[من صندوق]&amp;"/"&amp;الحركات[إلى صندوق]</f>
        <v>اجازات/ايجار المنزل</v>
      </c>
      <c r="N87" s="12" t="str">
        <f>VLOOKUP(الحركات[من صندوق],Table1[],2,0)</f>
        <v>صرف</v>
      </c>
      <c r="O87" s="12" t="str">
        <f>VLOOKUP(الحركات[إلى صندوق],Table1[[الصندوق]:[نوعه]],2,0)</f>
        <v>صرف</v>
      </c>
    </row>
    <row r="88" spans="1:15" x14ac:dyDescent="0.3">
      <c r="A88">
        <v>201804</v>
      </c>
      <c r="B88" s="3"/>
      <c r="C88" t="s">
        <v>9</v>
      </c>
      <c r="D88" s="19">
        <f>VLOOKUP(الحركات[[#This Row],[من صندوق]],Table5[],5,0)</f>
        <v>200</v>
      </c>
      <c r="E88" t="s">
        <v>21</v>
      </c>
      <c r="F88" s="19">
        <f>VLOOKUP(الحركات[[#This Row],[إلى صندوق]],Table5[[الصندوق]:[الرصيد الفعلي]],5,0)</f>
        <v>1500</v>
      </c>
      <c r="G88" s="19">
        <f>IF(VLOOKUP(الحركات[إلى صندوق],Table1[],3,0)=0,VLOOKUP(الحركات[[#This Row],[من صندوق]],Table1[[الصندوق]:[القيمة الشهرية]],3,0),VLOOKUP(الحركات[إلى صندوق],Table1[],3,0))</f>
        <v>1500</v>
      </c>
      <c r="H88" s="22">
        <v>800</v>
      </c>
      <c r="I88" s="22"/>
      <c r="J88" t="s">
        <v>90</v>
      </c>
      <c r="L88" s="12" t="b">
        <f ca="1">AND(الحركات[[#This Row],[مدفوع من شهر]]&lt;=VALUE(TEXT($A$2,"YYYYMM")),الحركات[[#This Row],[الحالة]]="")</f>
        <v>1</v>
      </c>
      <c r="M88" s="12" t="str">
        <f>الحركات[من صندوق]&amp;"/"&amp;الحركات[إلى صندوق]</f>
        <v>دورات/ايجار المنزل</v>
      </c>
      <c r="N88" s="12" t="str">
        <f>VLOOKUP(الحركات[من صندوق],Table1[],2,0)</f>
        <v>صرف</v>
      </c>
      <c r="O88" s="12" t="str">
        <f>VLOOKUP(الحركات[إلى صندوق],Table1[[الصندوق]:[نوعه]],2,0)</f>
        <v>صرف</v>
      </c>
    </row>
    <row r="89" spans="1:15" x14ac:dyDescent="0.3">
      <c r="A89">
        <v>201804</v>
      </c>
      <c r="B89" s="3"/>
      <c r="C89" t="s">
        <v>22</v>
      </c>
      <c r="D89" s="19">
        <f>VLOOKUP(الحركات[[#This Row],[من صندوق]],Table5[],5,0)</f>
        <v>200</v>
      </c>
      <c r="E89" t="s">
        <v>21</v>
      </c>
      <c r="F89" s="19">
        <f>VLOOKUP(الحركات[[#This Row],[إلى صندوق]],Table5[[الصندوق]:[الرصيد الفعلي]],5,0)</f>
        <v>1500</v>
      </c>
      <c r="G89" s="19">
        <f>IF(VLOOKUP(الحركات[إلى صندوق],Table1[],3,0)=0,VLOOKUP(الحركات[[#This Row],[من صندوق]],Table1[[الصندوق]:[القيمة الشهرية]],3,0),VLOOKUP(الحركات[إلى صندوق],Table1[],3,0))</f>
        <v>1500</v>
      </c>
      <c r="H89" s="22">
        <v>600</v>
      </c>
      <c r="I89" s="22"/>
      <c r="J89" t="s">
        <v>90</v>
      </c>
      <c r="L89" s="12" t="b">
        <f ca="1">AND(الحركات[[#This Row],[مدفوع من شهر]]&lt;=VALUE(TEXT($A$2,"YYYYMM")),الحركات[[#This Row],[الحالة]]="")</f>
        <v>1</v>
      </c>
      <c r="M89" s="12" t="str">
        <f>الحركات[من صندوق]&amp;"/"&amp;الحركات[إلى صندوق]</f>
        <v>زكاة/ايجار المنزل</v>
      </c>
      <c r="N89" s="12" t="str">
        <f>VLOOKUP(الحركات[من صندوق],Table1[],2,0)</f>
        <v>صرف</v>
      </c>
      <c r="O89" s="12" t="str">
        <f>VLOOKUP(الحركات[إلى صندوق],Table1[[الصندوق]:[نوعه]],2,0)</f>
        <v>صرف</v>
      </c>
    </row>
    <row r="90" spans="1:15" x14ac:dyDescent="0.3">
      <c r="A90">
        <v>201805</v>
      </c>
      <c r="B90" s="3"/>
      <c r="C90" t="s">
        <v>20</v>
      </c>
      <c r="D90" s="15">
        <f>VLOOKUP(الحركات[[#This Row],[من صندوق]],Table5[],5,0)</f>
        <v>-10000</v>
      </c>
      <c r="E90" t="s">
        <v>18</v>
      </c>
      <c r="F90" s="15">
        <f>VLOOKUP(الحركات[[#This Row],[إلى صندوق]],Table5[[الصندوق]:[الرصيد الفعلي]],5,0)</f>
        <v>225</v>
      </c>
      <c r="G90" s="15">
        <f>IF(VLOOKUP(الحركات[إلى صندوق],Table1[],3,0)=0,VLOOKUP(الحركات[[#This Row],[من صندوق]],Table1[[الصندوق]:[القيمة الشهرية]],3,0),VLOOKUP(الحركات[إلى صندوق],Table1[],3,0))</f>
        <v>10000</v>
      </c>
      <c r="H90" s="22">
        <v>10000</v>
      </c>
      <c r="I90" s="22"/>
      <c r="J90" t="s">
        <v>40</v>
      </c>
      <c r="L90" s="2" t="b">
        <f ca="1">AND(الحركات[[#This Row],[مدفوع من شهر]]&lt;=VALUE(TEXT($A$2,"YYYYMM")),الحركات[[#This Row],[الحالة]]="")</f>
        <v>1</v>
      </c>
      <c r="M90" s="2" t="str">
        <f>الحركات[من صندوق]&amp;"/"&amp;الحركات[إلى صندوق]</f>
        <v>الشركة/الراتب</v>
      </c>
      <c r="N90" s="2" t="str">
        <f>VLOOKUP(الحركات[من صندوق],Table1[],2,0)</f>
        <v>خارجي</v>
      </c>
      <c r="O90" s="2" t="str">
        <f>VLOOKUP(الحركات[إلى صندوق],Table1[[الصندوق]:[نوعه]],2,0)</f>
        <v>دخل</v>
      </c>
    </row>
    <row r="91" spans="1:15" x14ac:dyDescent="0.3">
      <c r="A91">
        <v>201805</v>
      </c>
      <c r="B91" s="3"/>
      <c r="C91" t="s">
        <v>18</v>
      </c>
      <c r="D91" s="15">
        <f>VLOOKUP(الحركات[[#This Row],[من صندوق]],Table5[],5,0)</f>
        <v>225</v>
      </c>
      <c r="E91" t="s">
        <v>11</v>
      </c>
      <c r="F91" s="15">
        <f>VLOOKUP(الحركات[[#This Row],[إلى صندوق]],Table5[[الصندوق]:[الرصيد الفعلي]],5,0)</f>
        <v>0</v>
      </c>
      <c r="G91" s="15">
        <f>IF(VLOOKUP(الحركات[إلى صندوق],Table1[],3,0)=0,VLOOKUP(الحركات[[#This Row],[من صندوق]],Table1[[الصندوق]:[القيمة الشهرية]],3,0),VLOOKUP(الحركات[إلى صندوق],Table1[],3,0))</f>
        <v>250</v>
      </c>
      <c r="H91" s="22">
        <v>250</v>
      </c>
      <c r="I91" s="22"/>
      <c r="J91" t="s">
        <v>47</v>
      </c>
      <c r="L91" s="2" t="b">
        <f ca="1">AND(الحركات[[#This Row],[مدفوع من شهر]]&lt;=VALUE(TEXT($A$2,"YYYYMM")),الحركات[[#This Row],[الحالة]]="")</f>
        <v>1</v>
      </c>
      <c r="M91" s="2" t="str">
        <f>الحركات[من صندوق]&amp;"/"&amp;الحركات[إلى صندوق]</f>
        <v>الراتب/فواتير</v>
      </c>
      <c r="N91" s="2" t="str">
        <f>VLOOKUP(الحركات[من صندوق],Table1[],2,0)</f>
        <v>دخل</v>
      </c>
      <c r="O91" s="2" t="str">
        <f>VLOOKUP(الحركات[إلى صندوق],Table1[[الصندوق]:[نوعه]],2,0)</f>
        <v>صرف</v>
      </c>
    </row>
    <row r="92" spans="1:15" x14ac:dyDescent="0.3">
      <c r="A92">
        <v>201805</v>
      </c>
      <c r="B92" s="3"/>
      <c r="C92" t="s">
        <v>18</v>
      </c>
      <c r="D92" s="15">
        <f>VLOOKUP(الحركات[[#This Row],[من صندوق]],Table5[],5,0)</f>
        <v>225</v>
      </c>
      <c r="E92" t="s">
        <v>13</v>
      </c>
      <c r="F92" s="15">
        <f>VLOOKUP(الحركات[[#This Row],[إلى صندوق]],Table5[[الصندوق]:[الرصيد الفعلي]],5,0)</f>
        <v>0</v>
      </c>
      <c r="G92" s="15">
        <f>IF(VLOOKUP(الحركات[إلى صندوق],Table1[],3,0)=0,VLOOKUP(الحركات[[#This Row],[من صندوق]],Table1[[الصندوق]:[القيمة الشهرية]],3,0),VLOOKUP(الحركات[إلى صندوق],Table1[],3,0))</f>
        <v>3800</v>
      </c>
      <c r="H92" s="22">
        <v>3800</v>
      </c>
      <c r="I92" s="22"/>
      <c r="J92" t="s">
        <v>48</v>
      </c>
      <c r="L92" s="2" t="b">
        <f ca="1">AND(الحركات[[#This Row],[مدفوع من شهر]]&lt;=VALUE(TEXT($A$2,"YYYYMM")),الحركات[[#This Row],[الحالة]]="")</f>
        <v>1</v>
      </c>
      <c r="M92" s="2" t="str">
        <f>الحركات[من صندوق]&amp;"/"&amp;الحركات[إلى صندوق]</f>
        <v>الراتب/مصاريف شهرية</v>
      </c>
      <c r="N92" s="2" t="str">
        <f>VLOOKUP(الحركات[من صندوق],Table1[],2,0)</f>
        <v>دخل</v>
      </c>
      <c r="O92" s="2" t="str">
        <f>VLOOKUP(الحركات[إلى صندوق],Table1[[الصندوق]:[نوعه]],2,0)</f>
        <v>صرف</v>
      </c>
    </row>
    <row r="93" spans="1:15" x14ac:dyDescent="0.3">
      <c r="A93">
        <v>201805</v>
      </c>
      <c r="B93" s="3"/>
      <c r="C93" t="s">
        <v>18</v>
      </c>
      <c r="D93" s="15">
        <f>VLOOKUP(الحركات[[#This Row],[من صندوق]],Table5[],5,0)</f>
        <v>225</v>
      </c>
      <c r="E93" t="s">
        <v>3</v>
      </c>
      <c r="F93" s="15">
        <f>VLOOKUP(الحركات[[#This Row],[إلى صندوق]],Table5[[الصندوق]:[الرصيد الفعلي]],5,0)</f>
        <v>2000</v>
      </c>
      <c r="G93" s="15">
        <f>IF(VLOOKUP(الحركات[إلى صندوق],Table1[],3,0)=0,VLOOKUP(الحركات[[#This Row],[من صندوق]],Table1[[الصندوق]:[القيمة الشهرية]],3,0),VLOOKUP(الحركات[إلى صندوق],Table1[],3,0))</f>
        <v>2000</v>
      </c>
      <c r="H93" s="22">
        <v>2000</v>
      </c>
      <c r="I93" s="22"/>
      <c r="J93" t="s">
        <v>49</v>
      </c>
      <c r="L93" s="2" t="b">
        <f ca="1">AND(الحركات[[#This Row],[مدفوع من شهر]]&lt;=VALUE(TEXT($A$2,"YYYYMM")),الحركات[[#This Row],[الحالة]]="")</f>
        <v>1</v>
      </c>
      <c r="M93" s="2" t="str">
        <f>الحركات[من صندوق]&amp;"/"&amp;الحركات[إلى صندوق]</f>
        <v>الراتب/مدارس</v>
      </c>
      <c r="N93" s="2" t="str">
        <f>VLOOKUP(الحركات[من صندوق],Table1[],2,0)</f>
        <v>دخل</v>
      </c>
      <c r="O93" s="2" t="str">
        <f>VLOOKUP(الحركات[إلى صندوق],Table1[[الصندوق]:[نوعه]],2,0)</f>
        <v>صرف</v>
      </c>
    </row>
    <row r="94" spans="1:15" x14ac:dyDescent="0.3">
      <c r="A94">
        <v>201805</v>
      </c>
      <c r="B94" s="3"/>
      <c r="C94" t="s">
        <v>18</v>
      </c>
      <c r="D94" s="15">
        <f>VLOOKUP(الحركات[[#This Row],[من صندوق]],Table5[],5,0)</f>
        <v>225</v>
      </c>
      <c r="E94" t="s">
        <v>21</v>
      </c>
      <c r="F94" s="15">
        <f>VLOOKUP(الحركات[[#This Row],[إلى صندوق]],Table5[[الصندوق]:[الرصيد الفعلي]],5,0)</f>
        <v>1500</v>
      </c>
      <c r="G94" s="15">
        <f>IF(VLOOKUP(الحركات[إلى صندوق],Table1[],3,0)=0,VLOOKUP(الحركات[[#This Row],[من صندوق]],Table1[[الصندوق]:[القيمة الشهرية]],3,0),VLOOKUP(الحركات[إلى صندوق],Table1[],3,0))</f>
        <v>1500</v>
      </c>
      <c r="H94" s="22">
        <v>1500</v>
      </c>
      <c r="I94" s="22"/>
      <c r="J94" t="s">
        <v>50</v>
      </c>
      <c r="L94" s="2" t="b">
        <f ca="1">AND(الحركات[[#This Row],[مدفوع من شهر]]&lt;=VALUE(TEXT($A$2,"YYYYMM")),الحركات[[#This Row],[الحالة]]="")</f>
        <v>1</v>
      </c>
      <c r="M94" s="2" t="str">
        <f>الحركات[من صندوق]&amp;"/"&amp;الحركات[إلى صندوق]</f>
        <v>الراتب/ايجار المنزل</v>
      </c>
      <c r="N94" s="2" t="str">
        <f>VLOOKUP(الحركات[من صندوق],Table1[],2,0)</f>
        <v>دخل</v>
      </c>
      <c r="O94" s="2" t="str">
        <f>VLOOKUP(الحركات[إلى صندوق],Table1[[الصندوق]:[نوعه]],2,0)</f>
        <v>صرف</v>
      </c>
    </row>
    <row r="95" spans="1:15" x14ac:dyDescent="0.3">
      <c r="A95">
        <v>201805</v>
      </c>
      <c r="B95" s="3"/>
      <c r="C95" t="s">
        <v>18</v>
      </c>
      <c r="D95" s="15">
        <f>VLOOKUP(الحركات[[#This Row],[من صندوق]],Table5[],5,0)</f>
        <v>225</v>
      </c>
      <c r="E95" t="s">
        <v>0</v>
      </c>
      <c r="F95" s="15">
        <f>VLOOKUP(الحركات[[#This Row],[إلى صندوق]],Table5[[الصندوق]:[الرصيد الفعلي]],5,0)</f>
        <v>0</v>
      </c>
      <c r="G95" s="15">
        <f>IF(VLOOKUP(الحركات[إلى صندوق],Table1[],3,0)=0,VLOOKUP(الحركات[[#This Row],[من صندوق]],Table1[[الصندوق]:[القيمة الشهرية]],3,0),VLOOKUP(الحركات[إلى صندوق],Table1[],3,0))</f>
        <v>500</v>
      </c>
      <c r="H95" s="22">
        <v>500</v>
      </c>
      <c r="I95" s="22"/>
      <c r="J95" t="s">
        <v>51</v>
      </c>
      <c r="L95" s="2" t="b">
        <f ca="1">AND(الحركات[[#This Row],[مدفوع من شهر]]&lt;=VALUE(TEXT($A$2,"YYYYMM")),الحركات[[#This Row],[الحالة]]="")</f>
        <v>1</v>
      </c>
      <c r="M95" s="2" t="str">
        <f>الحركات[من صندوق]&amp;"/"&amp;الحركات[إلى صندوق]</f>
        <v>الراتب/توفير</v>
      </c>
      <c r="N95" s="2" t="str">
        <f>VLOOKUP(الحركات[من صندوق],Table1[],2,0)</f>
        <v>دخل</v>
      </c>
      <c r="O95" s="2" t="str">
        <f>VLOOKUP(الحركات[إلى صندوق],Table1[[الصندوق]:[نوعه]],2,0)</f>
        <v>صرف</v>
      </c>
    </row>
    <row r="96" spans="1:15" x14ac:dyDescent="0.3">
      <c r="A96">
        <v>201805</v>
      </c>
      <c r="B96" s="3"/>
      <c r="C96" t="s">
        <v>18</v>
      </c>
      <c r="D96" s="15">
        <f>VLOOKUP(الحركات[[#This Row],[من صندوق]],Table5[],5,0)</f>
        <v>225</v>
      </c>
      <c r="E96" t="s">
        <v>12</v>
      </c>
      <c r="F96" s="15">
        <f>VLOOKUP(الحركات[[#This Row],[إلى صندوق]],Table5[[الصندوق]:[الرصيد الفعلي]],5,0)</f>
        <v>400</v>
      </c>
      <c r="G96" s="15">
        <f>IF(VLOOKUP(الحركات[إلى صندوق],Table1[],3,0)=0,VLOOKUP(الحركات[[#This Row],[من صندوق]],Table1[[الصندوق]:[القيمة الشهرية]],3,0),VLOOKUP(الحركات[إلى صندوق],Table1[],3,0))</f>
        <v>400</v>
      </c>
      <c r="H96" s="22">
        <v>400</v>
      </c>
      <c r="I96" s="22"/>
      <c r="J96" t="s">
        <v>52</v>
      </c>
      <c r="L96" s="2" t="b">
        <f ca="1">AND(الحركات[[#This Row],[مدفوع من شهر]]&lt;=VALUE(TEXT($A$2,"YYYYMM")),الحركات[[#This Row],[الحالة]]="")</f>
        <v>1</v>
      </c>
      <c r="M96" s="2" t="str">
        <f>الحركات[من صندوق]&amp;"/"&amp;الحركات[إلى صندوق]</f>
        <v>الراتب/اجازات</v>
      </c>
      <c r="N96" s="2" t="str">
        <f>VLOOKUP(الحركات[من صندوق],Table1[],2,0)</f>
        <v>دخل</v>
      </c>
      <c r="O96" s="2" t="str">
        <f>VLOOKUP(الحركات[إلى صندوق],Table1[[الصندوق]:[نوعه]],2,0)</f>
        <v>صرف</v>
      </c>
    </row>
    <row r="97" spans="1:15" x14ac:dyDescent="0.3">
      <c r="A97">
        <v>201805</v>
      </c>
      <c r="B97" s="3"/>
      <c r="C97" t="s">
        <v>18</v>
      </c>
      <c r="D97" s="15">
        <f>VLOOKUP(الحركات[[#This Row],[من صندوق]],Table5[],5,0)</f>
        <v>225</v>
      </c>
      <c r="E97" t="s">
        <v>9</v>
      </c>
      <c r="F97" s="15">
        <f>VLOOKUP(الحركات[[#This Row],[إلى صندوق]],Table5[[الصندوق]:[الرصيد الفعلي]],5,0)</f>
        <v>200</v>
      </c>
      <c r="G97" s="15">
        <f>IF(VLOOKUP(الحركات[إلى صندوق],Table1[],3,0)=0,VLOOKUP(الحركات[[#This Row],[من صندوق]],Table1[[الصندوق]:[القيمة الشهرية]],3,0),VLOOKUP(الحركات[إلى صندوق],Table1[],3,0))</f>
        <v>200</v>
      </c>
      <c r="H97" s="22">
        <v>200</v>
      </c>
      <c r="I97" s="22"/>
      <c r="J97" t="s">
        <v>53</v>
      </c>
      <c r="L97" s="2" t="b">
        <f ca="1">AND(الحركات[[#This Row],[مدفوع من شهر]]&lt;=VALUE(TEXT($A$2,"YYYYMM")),الحركات[[#This Row],[الحالة]]="")</f>
        <v>1</v>
      </c>
      <c r="M97" s="2" t="str">
        <f>الحركات[من صندوق]&amp;"/"&amp;الحركات[إلى صندوق]</f>
        <v>الراتب/دورات</v>
      </c>
      <c r="N97" s="2" t="str">
        <f>VLOOKUP(الحركات[من صندوق],Table1[],2,0)</f>
        <v>دخل</v>
      </c>
      <c r="O97" s="2" t="str">
        <f>VLOOKUP(الحركات[إلى صندوق],Table1[[الصندوق]:[نوعه]],2,0)</f>
        <v>صرف</v>
      </c>
    </row>
    <row r="98" spans="1:15" x14ac:dyDescent="0.3">
      <c r="A98">
        <v>201805</v>
      </c>
      <c r="B98" s="3"/>
      <c r="C98" t="s">
        <v>18</v>
      </c>
      <c r="D98" s="15">
        <f>VLOOKUP(الحركات[[#This Row],[من صندوق]],Table5[],5,0)</f>
        <v>225</v>
      </c>
      <c r="E98" t="s">
        <v>22</v>
      </c>
      <c r="F98" s="15">
        <f>VLOOKUP(الحركات[[#This Row],[إلى صندوق]],Table5[[الصندوق]:[الرصيد الفعلي]],5,0)</f>
        <v>200</v>
      </c>
      <c r="G98" s="15">
        <f>IF(VLOOKUP(الحركات[إلى صندوق],Table1[],3,0)=0,VLOOKUP(الحركات[[#This Row],[من صندوق]],Table1[[الصندوق]:[القيمة الشهرية]],3,0),VLOOKUP(الحركات[إلى صندوق],Table1[],3,0))</f>
        <v>200</v>
      </c>
      <c r="H98" s="22">
        <v>200</v>
      </c>
      <c r="I98" s="22"/>
      <c r="J98" t="s">
        <v>54</v>
      </c>
      <c r="L98" s="2" t="b">
        <f ca="1">AND(الحركات[[#This Row],[مدفوع من شهر]]&lt;=VALUE(TEXT($A$2,"YYYYMM")),الحركات[[#This Row],[الحالة]]="")</f>
        <v>1</v>
      </c>
      <c r="M98" s="2" t="str">
        <f>الحركات[من صندوق]&amp;"/"&amp;الحركات[إلى صندوق]</f>
        <v>الراتب/زكاة</v>
      </c>
      <c r="N98" s="2" t="str">
        <f>VLOOKUP(الحركات[من صندوق],Table1[],2,0)</f>
        <v>دخل</v>
      </c>
      <c r="O98" s="2" t="str">
        <f>VLOOKUP(الحركات[إلى صندوق],Table1[[الصندوق]:[نوعه]],2,0)</f>
        <v>صرف</v>
      </c>
    </row>
    <row r="99" spans="1:15" x14ac:dyDescent="0.3">
      <c r="A99">
        <v>201805</v>
      </c>
      <c r="B99" s="3"/>
      <c r="C99" t="s">
        <v>18</v>
      </c>
      <c r="D99" s="15">
        <f>VLOOKUP(الحركات[[#This Row],[من صندوق]],Table5[],5,0)</f>
        <v>225</v>
      </c>
      <c r="E99" t="s">
        <v>10</v>
      </c>
      <c r="F99" s="15">
        <f>VLOOKUP(الحركات[[#This Row],[إلى صندوق]],Table5[[الصندوق]:[الرصيد الفعلي]],5,0)</f>
        <v>250</v>
      </c>
      <c r="G99" s="15">
        <f>IF(VLOOKUP(الحركات[إلى صندوق],Table1[],3,0)=0,VLOOKUP(الحركات[[#This Row],[من صندوق]],Table1[[الصندوق]:[القيمة الشهرية]],3,0),VLOOKUP(الحركات[إلى صندوق],Table1[],3,0))</f>
        <v>250</v>
      </c>
      <c r="H99" s="22">
        <v>250</v>
      </c>
      <c r="I99" s="22"/>
      <c r="J99" t="s">
        <v>55</v>
      </c>
      <c r="L99" s="2" t="b">
        <f ca="1">AND(الحركات[[#This Row],[مدفوع من شهر]]&lt;=VALUE(TEXT($A$2,"YYYYMM")),الحركات[[#This Row],[الحالة]]="")</f>
        <v>1</v>
      </c>
      <c r="M99" s="2" t="str">
        <f>الحركات[من صندوق]&amp;"/"&amp;الحركات[إلى صندوق]</f>
        <v>الراتب/صيانة السيارة</v>
      </c>
      <c r="N99" s="2" t="str">
        <f>VLOOKUP(الحركات[من صندوق],Table1[],2,0)</f>
        <v>دخل</v>
      </c>
      <c r="O99" s="2" t="str">
        <f>VLOOKUP(الحركات[إلى صندوق],Table1[[الصندوق]:[نوعه]],2,0)</f>
        <v>صرف</v>
      </c>
    </row>
    <row r="100" spans="1:15" x14ac:dyDescent="0.3">
      <c r="A100">
        <v>201805</v>
      </c>
      <c r="B100" s="3"/>
      <c r="C100" t="s">
        <v>18</v>
      </c>
      <c r="D100" s="15">
        <f>VLOOKUP(الحركات[[#This Row],[من صندوق]],Table5[],5,0)</f>
        <v>225</v>
      </c>
      <c r="E100" t="s">
        <v>15</v>
      </c>
      <c r="F100" s="15">
        <f>VLOOKUP(الحركات[[#This Row],[إلى صندوق]],Table5[[الصندوق]:[الرصيد الفعلي]],5,0)</f>
        <v>0</v>
      </c>
      <c r="G100" s="15">
        <f>IF(VLOOKUP(الحركات[إلى صندوق],Table1[],3,0)=0,VLOOKUP(الحركات[[#This Row],[من صندوق]],Table1[[الصندوق]:[القيمة الشهرية]],3,0),VLOOKUP(الحركات[إلى صندوق],Table1[],3,0))</f>
        <v>285</v>
      </c>
      <c r="H100" s="22">
        <v>285</v>
      </c>
      <c r="I100" s="22"/>
      <c r="J100" t="s">
        <v>56</v>
      </c>
      <c r="L100" s="2" t="b">
        <f ca="1">AND(الحركات[[#This Row],[مدفوع من شهر]]&lt;=VALUE(TEXT($A$2,"YYYYMM")),الحركات[[#This Row],[الحالة]]="")</f>
        <v>1</v>
      </c>
      <c r="M100" s="2" t="str">
        <f>الحركات[من صندوق]&amp;"/"&amp;الحركات[إلى صندوق]</f>
        <v>الراتب/ملابس</v>
      </c>
      <c r="N100" s="2" t="str">
        <f>VLOOKUP(الحركات[من صندوق],Table1[],2,0)</f>
        <v>دخل</v>
      </c>
      <c r="O100" s="2" t="str">
        <f>VLOOKUP(الحركات[إلى صندوق],Table1[[الصندوق]:[نوعه]],2,0)</f>
        <v>صرف</v>
      </c>
    </row>
    <row r="101" spans="1:15" x14ac:dyDescent="0.3">
      <c r="A101">
        <v>201805</v>
      </c>
      <c r="B101" s="3"/>
      <c r="C101" t="s">
        <v>18</v>
      </c>
      <c r="D101" s="15">
        <f>VLOOKUP(الحركات[[#This Row],[من صندوق]],Table5[],5,0)</f>
        <v>225</v>
      </c>
      <c r="E101" t="s">
        <v>1</v>
      </c>
      <c r="F101" s="15">
        <f>VLOOKUP(الحركات[[#This Row],[إلى صندوق]],Table5[[الصندوق]:[الرصيد الفعلي]],5,0)</f>
        <v>0</v>
      </c>
      <c r="G101" s="15">
        <f>IF(VLOOKUP(الحركات[إلى صندوق],Table1[],3,0)=0,VLOOKUP(الحركات[[#This Row],[من صندوق]],Table1[[الصندوق]:[القيمة الشهرية]],3,0),VLOOKUP(الحركات[إلى صندوق],Table1[],3,0))</f>
        <v>190</v>
      </c>
      <c r="H101" s="22">
        <v>190</v>
      </c>
      <c r="I101" s="22"/>
      <c r="J101" t="s">
        <v>57</v>
      </c>
      <c r="L101" s="2" t="b">
        <f ca="1">AND(الحركات[[#This Row],[مدفوع من شهر]]&lt;=VALUE(TEXT($A$2,"YYYYMM")),الحركات[[#This Row],[الحالة]]="")</f>
        <v>1</v>
      </c>
      <c r="M101" s="2" t="str">
        <f>الحركات[من صندوق]&amp;"/"&amp;الحركات[إلى صندوق]</f>
        <v>الراتب/هدايا</v>
      </c>
      <c r="N101" s="2" t="str">
        <f>VLOOKUP(الحركات[من صندوق],Table1[],2,0)</f>
        <v>دخل</v>
      </c>
      <c r="O101" s="2" t="str">
        <f>VLOOKUP(الحركات[إلى صندوق],Table1[[الصندوق]:[نوعه]],2,0)</f>
        <v>صرف</v>
      </c>
    </row>
    <row r="102" spans="1:15" x14ac:dyDescent="0.3">
      <c r="A102">
        <v>201805</v>
      </c>
      <c r="B102" s="3"/>
      <c r="C102" t="s">
        <v>18</v>
      </c>
      <c r="D102" s="15">
        <f>VLOOKUP(الحركات[[#This Row],[من صندوق]],Table5[],5,0)</f>
        <v>225</v>
      </c>
      <c r="E102" t="s">
        <v>4</v>
      </c>
      <c r="F102" s="15">
        <f>VLOOKUP(الحركات[[#This Row],[إلى صندوق]],Table5[[الصندوق]:[الرصيد الفعلي]],5,0)</f>
        <v>200</v>
      </c>
      <c r="G102" s="15">
        <f>IF(VLOOKUP(الحركات[إلى صندوق],Table1[],3,0)=0,VLOOKUP(الحركات[[#This Row],[من صندوق]],Table1[[الصندوق]:[القيمة الشهرية]],3,0),VLOOKUP(الحركات[إلى صندوق],Table1[],3,0))</f>
        <v>200</v>
      </c>
      <c r="H102" s="22">
        <v>200</v>
      </c>
      <c r="I102" s="22"/>
      <c r="J102" t="s">
        <v>58</v>
      </c>
      <c r="L102" s="2" t="b">
        <f ca="1">AND(الحركات[[#This Row],[مدفوع من شهر]]&lt;=VALUE(TEXT($A$2,"YYYYMM")),الحركات[[#This Row],[الحالة]]="")</f>
        <v>1</v>
      </c>
      <c r="M102" s="2" t="str">
        <f>الحركات[من صندوق]&amp;"/"&amp;الحركات[إلى صندوق]</f>
        <v>الراتب/طوارئ</v>
      </c>
      <c r="N102" s="2" t="str">
        <f>VLOOKUP(الحركات[من صندوق],Table1[],2,0)</f>
        <v>دخل</v>
      </c>
      <c r="O102" s="2" t="str">
        <f>VLOOKUP(الحركات[إلى صندوق],Table1[[الصندوق]:[نوعه]],2,0)</f>
        <v>صرف</v>
      </c>
    </row>
    <row r="103" spans="1:15" x14ac:dyDescent="0.3">
      <c r="A103">
        <v>201805</v>
      </c>
      <c r="B103" s="3"/>
      <c r="C103" t="s">
        <v>11</v>
      </c>
      <c r="D103" s="16">
        <f>VLOOKUP(الحركات[[#This Row],[من صندوق]],Table5[],5,0)</f>
        <v>0</v>
      </c>
      <c r="E103" t="s">
        <v>14</v>
      </c>
      <c r="F103" s="16">
        <f>VLOOKUP(الحركات[[#This Row],[إلى صندوق]],Table5[[الصندوق]:[الرصيد الفعلي]],5,0)</f>
        <v>5025</v>
      </c>
      <c r="G103" s="16">
        <f>IF(VLOOKUP(الحركات[إلى صندوق],Table1[],3,0)=0,VLOOKUP(الحركات[[#This Row],[من صندوق]],Table1[[الصندوق]:[القيمة الشهرية]],3,0),VLOOKUP(الحركات[إلى صندوق],Table1[],3,0))</f>
        <v>250</v>
      </c>
      <c r="H103" s="22">
        <v>250</v>
      </c>
      <c r="I103" s="22"/>
      <c r="J103" t="s">
        <v>59</v>
      </c>
      <c r="L103" s="7" t="b">
        <f ca="1">AND(الحركات[[#This Row],[مدفوع من شهر]]&lt;=VALUE(TEXT($A$2,"YYYYMM")),الحركات[[#This Row],[الحالة]]="")</f>
        <v>1</v>
      </c>
      <c r="M103" s="7" t="str">
        <f>الحركات[من صندوق]&amp;"/"&amp;الحركات[إلى صندوق]</f>
        <v>فواتير/صرف</v>
      </c>
      <c r="N103" s="7" t="str">
        <f>VLOOKUP(الحركات[من صندوق],Table1[],2,0)</f>
        <v>صرف</v>
      </c>
      <c r="O103" s="7" t="str">
        <f>VLOOKUP(الحركات[إلى صندوق],Table1[[الصندوق]:[نوعه]],2,0)</f>
        <v>خارجي</v>
      </c>
    </row>
    <row r="104" spans="1:15" x14ac:dyDescent="0.3">
      <c r="A104">
        <v>201805</v>
      </c>
      <c r="B104" s="3"/>
      <c r="C104" t="s">
        <v>13</v>
      </c>
      <c r="D104" s="16">
        <f>VLOOKUP(الحركات[[#This Row],[من صندوق]],Table5[],5,0)</f>
        <v>0</v>
      </c>
      <c r="E104" t="s">
        <v>14</v>
      </c>
      <c r="F104" s="16">
        <f>VLOOKUP(الحركات[[#This Row],[إلى صندوق]],Table5[[الصندوق]:[الرصيد الفعلي]],5,0)</f>
        <v>5025</v>
      </c>
      <c r="G104" s="16">
        <f>IF(VLOOKUP(الحركات[إلى صندوق],Table1[],3,0)=0,VLOOKUP(الحركات[[#This Row],[من صندوق]],Table1[[الصندوق]:[القيمة الشهرية]],3,0),VLOOKUP(الحركات[إلى صندوق],Table1[],3,0))</f>
        <v>3800</v>
      </c>
      <c r="H104" s="22">
        <v>3800</v>
      </c>
      <c r="I104" s="22"/>
      <c r="J104" t="s">
        <v>60</v>
      </c>
      <c r="L104" s="7" t="b">
        <f ca="1">AND(الحركات[[#This Row],[مدفوع من شهر]]&lt;=VALUE(TEXT($A$2,"YYYYMM")),الحركات[[#This Row],[الحالة]]="")</f>
        <v>1</v>
      </c>
      <c r="M104" s="7" t="str">
        <f>الحركات[من صندوق]&amp;"/"&amp;الحركات[إلى صندوق]</f>
        <v>مصاريف شهرية/صرف</v>
      </c>
      <c r="N104" s="7" t="str">
        <f>VLOOKUP(الحركات[من صندوق],Table1[],2,0)</f>
        <v>صرف</v>
      </c>
      <c r="O104" s="7" t="str">
        <f>VLOOKUP(الحركات[إلى صندوق],Table1[[الصندوق]:[نوعه]],2,0)</f>
        <v>خارجي</v>
      </c>
    </row>
    <row r="105" spans="1:15" x14ac:dyDescent="0.3">
      <c r="A105">
        <v>201805</v>
      </c>
      <c r="B105" s="3"/>
      <c r="C105" t="s">
        <v>0</v>
      </c>
      <c r="D105" s="16">
        <f>VLOOKUP(الحركات[[#This Row],[من صندوق]],Table5[],5,0)</f>
        <v>0</v>
      </c>
      <c r="E105" t="s">
        <v>14</v>
      </c>
      <c r="F105" s="16">
        <f>VLOOKUP(الحركات[[#This Row],[إلى صندوق]],Table5[[الصندوق]:[الرصيد الفعلي]],5,0)</f>
        <v>5025</v>
      </c>
      <c r="G105" s="16">
        <f>IF(VLOOKUP(الحركات[إلى صندوق],Table1[],3,0)=0,VLOOKUP(الحركات[[#This Row],[من صندوق]],Table1[[الصندوق]:[القيمة الشهرية]],3,0),VLOOKUP(الحركات[إلى صندوق],Table1[],3,0))</f>
        <v>500</v>
      </c>
      <c r="H105" s="22">
        <v>500</v>
      </c>
      <c r="I105" s="22"/>
      <c r="J105" t="s">
        <v>66</v>
      </c>
      <c r="L105" s="7" t="b">
        <f ca="1">AND(الحركات[[#This Row],[مدفوع من شهر]]&lt;=VALUE(TEXT($A$2,"YYYYMM")),الحركات[[#This Row],[الحالة]]="")</f>
        <v>1</v>
      </c>
      <c r="M105" s="7" t="str">
        <f>الحركات[من صندوق]&amp;"/"&amp;الحركات[إلى صندوق]</f>
        <v>توفير/صرف</v>
      </c>
      <c r="N105" s="7" t="str">
        <f>VLOOKUP(الحركات[من صندوق],Table1[],2,0)</f>
        <v>صرف</v>
      </c>
      <c r="O105" s="7" t="str">
        <f>VLOOKUP(الحركات[إلى صندوق],Table1[[الصندوق]:[نوعه]],2,0)</f>
        <v>خارجي</v>
      </c>
    </row>
    <row r="106" spans="1:15" x14ac:dyDescent="0.3">
      <c r="A106">
        <v>201805</v>
      </c>
      <c r="B106" s="3"/>
      <c r="C106" t="s">
        <v>15</v>
      </c>
      <c r="D106" s="17">
        <f>VLOOKUP(الحركات[[#This Row],[من صندوق]],Table5[],5,0)</f>
        <v>0</v>
      </c>
      <c r="E106" t="s">
        <v>14</v>
      </c>
      <c r="F106" s="17">
        <f>VLOOKUP(الحركات[[#This Row],[إلى صندوق]],Table5[[الصندوق]:[الرصيد الفعلي]],5,0)</f>
        <v>5025</v>
      </c>
      <c r="G106" s="17">
        <f>IF(VLOOKUP(الحركات[إلى صندوق],Table1[],3,0)=0,VLOOKUP(الحركات[[#This Row],[من صندوق]],Table1[[الصندوق]:[القيمة الشهرية]],3,0),VLOOKUP(الحركات[إلى صندوق],Table1[],3,0))</f>
        <v>285</v>
      </c>
      <c r="H106" s="22">
        <v>285</v>
      </c>
      <c r="I106" s="22"/>
      <c r="J106" t="s">
        <v>71</v>
      </c>
      <c r="L106" s="8" t="b">
        <f ca="1">AND(الحركات[[#This Row],[مدفوع من شهر]]&lt;=VALUE(TEXT($A$2,"YYYYMM")),الحركات[[#This Row],[الحالة]]="")</f>
        <v>1</v>
      </c>
      <c r="M106" s="8" t="str">
        <f>الحركات[من صندوق]&amp;"/"&amp;الحركات[إلى صندوق]</f>
        <v>ملابس/صرف</v>
      </c>
      <c r="N106" s="8" t="str">
        <f>VLOOKUP(الحركات[من صندوق],Table1[],2,0)</f>
        <v>صرف</v>
      </c>
      <c r="O106" s="8" t="str">
        <f>VLOOKUP(الحركات[إلى صندوق],Table1[[الصندوق]:[نوعه]],2,0)</f>
        <v>خارجي</v>
      </c>
    </row>
    <row r="107" spans="1:15" x14ac:dyDescent="0.3">
      <c r="A107">
        <v>201805</v>
      </c>
      <c r="B107" s="3"/>
      <c r="C107" t="s">
        <v>1</v>
      </c>
      <c r="D107" s="17">
        <f>VLOOKUP(الحركات[[#This Row],[من صندوق]],Table5[],5,0)</f>
        <v>0</v>
      </c>
      <c r="E107" t="s">
        <v>14</v>
      </c>
      <c r="F107" s="17">
        <f>VLOOKUP(الحركات[[#This Row],[إلى صندوق]],Table5[[الصندوق]:[الرصيد الفعلي]],5,0)</f>
        <v>5025</v>
      </c>
      <c r="G107" s="17">
        <f>IF(VLOOKUP(الحركات[إلى صندوق],Table1[],3,0)=0,VLOOKUP(الحركات[[#This Row],[من صندوق]],Table1[[الصندوق]:[القيمة الشهرية]],3,0),VLOOKUP(الحركات[إلى صندوق],Table1[],3,0))</f>
        <v>190</v>
      </c>
      <c r="H107" s="22">
        <v>190</v>
      </c>
      <c r="I107" s="22"/>
      <c r="J107" t="s">
        <v>72</v>
      </c>
      <c r="L107" s="8" t="b">
        <f ca="1">AND(الحركات[[#This Row],[مدفوع من شهر]]&lt;=VALUE(TEXT($A$2,"YYYYMM")),الحركات[[#This Row],[الحالة]]="")</f>
        <v>1</v>
      </c>
      <c r="M107" s="8" t="str">
        <f>الحركات[من صندوق]&amp;"/"&amp;الحركات[إلى صندوق]</f>
        <v>هدايا/صرف</v>
      </c>
      <c r="N107" s="8" t="str">
        <f>VLOOKUP(الحركات[من صندوق],Table1[],2,0)</f>
        <v>صرف</v>
      </c>
      <c r="O107" s="8" t="str">
        <f>VLOOKUP(الحركات[إلى صندوق],Table1[[الصندوق]:[نوعه]],2,0)</f>
        <v>خارجي</v>
      </c>
    </row>
    <row r="108" spans="1:15" x14ac:dyDescent="0.3">
      <c r="A108">
        <v>201806</v>
      </c>
      <c r="B108" s="3"/>
      <c r="C108" t="s">
        <v>20</v>
      </c>
      <c r="D108" s="15">
        <f>VLOOKUP(الحركات[[#This Row],[من صندوق]],Table5[],5,0)</f>
        <v>-10000</v>
      </c>
      <c r="E108" t="s">
        <v>18</v>
      </c>
      <c r="F108" s="15">
        <f>VLOOKUP(الحركات[[#This Row],[إلى صندوق]],Table5[[الصندوق]:[الرصيد الفعلي]],5,0)</f>
        <v>225</v>
      </c>
      <c r="G108" s="15">
        <f>IF(VLOOKUP(الحركات[إلى صندوق],Table1[],3,0)=0,VLOOKUP(الحركات[[#This Row],[من صندوق]],Table1[[الصندوق]:[القيمة الشهرية]],3,0),VLOOKUP(الحركات[إلى صندوق],Table1[],3,0))</f>
        <v>10000</v>
      </c>
      <c r="H108" s="22">
        <v>10000</v>
      </c>
      <c r="I108" s="22"/>
      <c r="J108" t="s">
        <v>40</v>
      </c>
      <c r="L108" s="2" t="b">
        <f ca="1">AND(الحركات[[#This Row],[مدفوع من شهر]]&lt;=VALUE(TEXT($A$2,"YYYYMM")),الحركات[[#This Row],[الحالة]]="")</f>
        <v>1</v>
      </c>
      <c r="M108" s="2" t="str">
        <f>الحركات[من صندوق]&amp;"/"&amp;الحركات[إلى صندوق]</f>
        <v>الشركة/الراتب</v>
      </c>
      <c r="N108" s="2" t="str">
        <f>VLOOKUP(الحركات[من صندوق],Table1[],2,0)</f>
        <v>خارجي</v>
      </c>
      <c r="O108" s="2" t="str">
        <f>VLOOKUP(الحركات[إلى صندوق],Table1[[الصندوق]:[نوعه]],2,0)</f>
        <v>دخل</v>
      </c>
    </row>
    <row r="109" spans="1:15" x14ac:dyDescent="0.3">
      <c r="A109">
        <v>201806</v>
      </c>
      <c r="B109" s="3"/>
      <c r="C109" t="s">
        <v>18</v>
      </c>
      <c r="D109" s="15">
        <f>VLOOKUP(الحركات[[#This Row],[من صندوق]],Table5[],5,0)</f>
        <v>225</v>
      </c>
      <c r="E109" t="s">
        <v>11</v>
      </c>
      <c r="F109" s="15">
        <f>VLOOKUP(الحركات[[#This Row],[إلى صندوق]],Table5[[الصندوق]:[الرصيد الفعلي]],5,0)</f>
        <v>0</v>
      </c>
      <c r="G109" s="15">
        <f>IF(VLOOKUP(الحركات[إلى صندوق],Table1[],3,0)=0,VLOOKUP(الحركات[[#This Row],[من صندوق]],Table1[[الصندوق]:[القيمة الشهرية]],3,0),VLOOKUP(الحركات[إلى صندوق],Table1[],3,0))</f>
        <v>250</v>
      </c>
      <c r="H109" s="22">
        <v>250</v>
      </c>
      <c r="I109" s="22"/>
      <c r="J109" t="s">
        <v>47</v>
      </c>
      <c r="L109" s="2" t="b">
        <f ca="1">AND(الحركات[[#This Row],[مدفوع من شهر]]&lt;=VALUE(TEXT($A$2,"YYYYMM")),الحركات[[#This Row],[الحالة]]="")</f>
        <v>1</v>
      </c>
      <c r="M109" s="2" t="str">
        <f>الحركات[من صندوق]&amp;"/"&amp;الحركات[إلى صندوق]</f>
        <v>الراتب/فواتير</v>
      </c>
      <c r="N109" s="2" t="str">
        <f>VLOOKUP(الحركات[من صندوق],Table1[],2,0)</f>
        <v>دخل</v>
      </c>
      <c r="O109" s="2" t="str">
        <f>VLOOKUP(الحركات[إلى صندوق],Table1[[الصندوق]:[نوعه]],2,0)</f>
        <v>صرف</v>
      </c>
    </row>
    <row r="110" spans="1:15" x14ac:dyDescent="0.3">
      <c r="A110">
        <v>201806</v>
      </c>
      <c r="B110" s="3"/>
      <c r="C110" t="s">
        <v>18</v>
      </c>
      <c r="D110" s="15">
        <f>VLOOKUP(الحركات[[#This Row],[من صندوق]],Table5[],5,0)</f>
        <v>225</v>
      </c>
      <c r="E110" t="s">
        <v>13</v>
      </c>
      <c r="F110" s="15">
        <f>VLOOKUP(الحركات[[#This Row],[إلى صندوق]],Table5[[الصندوق]:[الرصيد الفعلي]],5,0)</f>
        <v>0</v>
      </c>
      <c r="G110" s="15">
        <f>IF(VLOOKUP(الحركات[إلى صندوق],Table1[],3,0)=0,VLOOKUP(الحركات[[#This Row],[من صندوق]],Table1[[الصندوق]:[القيمة الشهرية]],3,0),VLOOKUP(الحركات[إلى صندوق],Table1[],3,0))</f>
        <v>3800</v>
      </c>
      <c r="H110" s="22">
        <v>3800</v>
      </c>
      <c r="I110" s="22"/>
      <c r="J110" t="s">
        <v>48</v>
      </c>
      <c r="L110" s="2" t="b">
        <f ca="1">AND(الحركات[[#This Row],[مدفوع من شهر]]&lt;=VALUE(TEXT($A$2,"YYYYMM")),الحركات[[#This Row],[الحالة]]="")</f>
        <v>1</v>
      </c>
      <c r="M110" s="2" t="str">
        <f>الحركات[من صندوق]&amp;"/"&amp;الحركات[إلى صندوق]</f>
        <v>الراتب/مصاريف شهرية</v>
      </c>
      <c r="N110" s="2" t="str">
        <f>VLOOKUP(الحركات[من صندوق],Table1[],2,0)</f>
        <v>دخل</v>
      </c>
      <c r="O110" s="2" t="str">
        <f>VLOOKUP(الحركات[إلى صندوق],Table1[[الصندوق]:[نوعه]],2,0)</f>
        <v>صرف</v>
      </c>
    </row>
    <row r="111" spans="1:15" x14ac:dyDescent="0.3">
      <c r="A111">
        <v>201806</v>
      </c>
      <c r="B111" s="3"/>
      <c r="C111" t="s">
        <v>18</v>
      </c>
      <c r="D111" s="15">
        <f>VLOOKUP(الحركات[[#This Row],[من صندوق]],Table5[],5,0)</f>
        <v>225</v>
      </c>
      <c r="E111" t="s">
        <v>3</v>
      </c>
      <c r="F111" s="15">
        <f>VLOOKUP(الحركات[[#This Row],[إلى صندوق]],Table5[[الصندوق]:[الرصيد الفعلي]],5,0)</f>
        <v>2000</v>
      </c>
      <c r="G111" s="15">
        <f>IF(VLOOKUP(الحركات[إلى صندوق],Table1[],3,0)=0,VLOOKUP(الحركات[[#This Row],[من صندوق]],Table1[[الصندوق]:[القيمة الشهرية]],3,0),VLOOKUP(الحركات[إلى صندوق],Table1[],3,0))</f>
        <v>2000</v>
      </c>
      <c r="H111" s="22">
        <v>2000</v>
      </c>
      <c r="I111" s="22"/>
      <c r="J111" t="s">
        <v>49</v>
      </c>
      <c r="L111" s="2" t="b">
        <f ca="1">AND(الحركات[[#This Row],[مدفوع من شهر]]&lt;=VALUE(TEXT($A$2,"YYYYMM")),الحركات[[#This Row],[الحالة]]="")</f>
        <v>1</v>
      </c>
      <c r="M111" s="2" t="str">
        <f>الحركات[من صندوق]&amp;"/"&amp;الحركات[إلى صندوق]</f>
        <v>الراتب/مدارس</v>
      </c>
      <c r="N111" s="2" t="str">
        <f>VLOOKUP(الحركات[من صندوق],Table1[],2,0)</f>
        <v>دخل</v>
      </c>
      <c r="O111" s="2" t="str">
        <f>VLOOKUP(الحركات[إلى صندوق],Table1[[الصندوق]:[نوعه]],2,0)</f>
        <v>صرف</v>
      </c>
    </row>
    <row r="112" spans="1:15" x14ac:dyDescent="0.3">
      <c r="A112">
        <v>201806</v>
      </c>
      <c r="B112" s="3"/>
      <c r="C112" t="s">
        <v>18</v>
      </c>
      <c r="D112" s="15">
        <f>VLOOKUP(الحركات[[#This Row],[من صندوق]],Table5[],5,0)</f>
        <v>225</v>
      </c>
      <c r="E112" t="s">
        <v>21</v>
      </c>
      <c r="F112" s="15">
        <f>VLOOKUP(الحركات[[#This Row],[إلى صندوق]],Table5[[الصندوق]:[الرصيد الفعلي]],5,0)</f>
        <v>1500</v>
      </c>
      <c r="G112" s="15">
        <f>IF(VLOOKUP(الحركات[إلى صندوق],Table1[],3,0)=0,VLOOKUP(الحركات[[#This Row],[من صندوق]],Table1[[الصندوق]:[القيمة الشهرية]],3,0),VLOOKUP(الحركات[إلى صندوق],Table1[],3,0))</f>
        <v>1500</v>
      </c>
      <c r="H112" s="22">
        <v>1500</v>
      </c>
      <c r="I112" s="22"/>
      <c r="J112" t="s">
        <v>50</v>
      </c>
      <c r="L112" s="2" t="b">
        <f ca="1">AND(الحركات[[#This Row],[مدفوع من شهر]]&lt;=VALUE(TEXT($A$2,"YYYYMM")),الحركات[[#This Row],[الحالة]]="")</f>
        <v>1</v>
      </c>
      <c r="M112" s="2" t="str">
        <f>الحركات[من صندوق]&amp;"/"&amp;الحركات[إلى صندوق]</f>
        <v>الراتب/ايجار المنزل</v>
      </c>
      <c r="N112" s="2" t="str">
        <f>VLOOKUP(الحركات[من صندوق],Table1[],2,0)</f>
        <v>دخل</v>
      </c>
      <c r="O112" s="2" t="str">
        <f>VLOOKUP(الحركات[إلى صندوق],Table1[[الصندوق]:[نوعه]],2,0)</f>
        <v>صرف</v>
      </c>
    </row>
    <row r="113" spans="1:15" x14ac:dyDescent="0.3">
      <c r="A113">
        <v>201806</v>
      </c>
      <c r="B113" s="3"/>
      <c r="C113" t="s">
        <v>18</v>
      </c>
      <c r="D113" s="15">
        <f>VLOOKUP(الحركات[[#This Row],[من صندوق]],Table5[],5,0)</f>
        <v>225</v>
      </c>
      <c r="E113" t="s">
        <v>0</v>
      </c>
      <c r="F113" s="15">
        <f>VLOOKUP(الحركات[[#This Row],[إلى صندوق]],Table5[[الصندوق]:[الرصيد الفعلي]],5,0)</f>
        <v>0</v>
      </c>
      <c r="G113" s="15">
        <f>IF(VLOOKUP(الحركات[إلى صندوق],Table1[],3,0)=0,VLOOKUP(الحركات[[#This Row],[من صندوق]],Table1[[الصندوق]:[القيمة الشهرية]],3,0),VLOOKUP(الحركات[إلى صندوق],Table1[],3,0))</f>
        <v>500</v>
      </c>
      <c r="H113" s="22">
        <v>500</v>
      </c>
      <c r="I113" s="22"/>
      <c r="J113" t="s">
        <v>51</v>
      </c>
      <c r="L113" s="2" t="b">
        <f ca="1">AND(الحركات[[#This Row],[مدفوع من شهر]]&lt;=VALUE(TEXT($A$2,"YYYYMM")),الحركات[[#This Row],[الحالة]]="")</f>
        <v>1</v>
      </c>
      <c r="M113" s="2" t="str">
        <f>الحركات[من صندوق]&amp;"/"&amp;الحركات[إلى صندوق]</f>
        <v>الراتب/توفير</v>
      </c>
      <c r="N113" s="2" t="str">
        <f>VLOOKUP(الحركات[من صندوق],Table1[],2,0)</f>
        <v>دخل</v>
      </c>
      <c r="O113" s="2" t="str">
        <f>VLOOKUP(الحركات[إلى صندوق],Table1[[الصندوق]:[نوعه]],2,0)</f>
        <v>صرف</v>
      </c>
    </row>
    <row r="114" spans="1:15" x14ac:dyDescent="0.3">
      <c r="A114">
        <v>201806</v>
      </c>
      <c r="B114" s="3"/>
      <c r="C114" t="s">
        <v>18</v>
      </c>
      <c r="D114" s="15">
        <f>VLOOKUP(الحركات[[#This Row],[من صندوق]],Table5[],5,0)</f>
        <v>225</v>
      </c>
      <c r="E114" t="s">
        <v>12</v>
      </c>
      <c r="F114" s="15">
        <f>VLOOKUP(الحركات[[#This Row],[إلى صندوق]],Table5[[الصندوق]:[الرصيد الفعلي]],5,0)</f>
        <v>400</v>
      </c>
      <c r="G114" s="15">
        <f>IF(VLOOKUP(الحركات[إلى صندوق],Table1[],3,0)=0,VLOOKUP(الحركات[[#This Row],[من صندوق]],Table1[[الصندوق]:[القيمة الشهرية]],3,0),VLOOKUP(الحركات[إلى صندوق],Table1[],3,0))</f>
        <v>400</v>
      </c>
      <c r="H114" s="22">
        <v>400</v>
      </c>
      <c r="I114" s="22"/>
      <c r="J114" t="s">
        <v>52</v>
      </c>
      <c r="L114" s="2" t="b">
        <f ca="1">AND(الحركات[[#This Row],[مدفوع من شهر]]&lt;=VALUE(TEXT($A$2,"YYYYMM")),الحركات[[#This Row],[الحالة]]="")</f>
        <v>1</v>
      </c>
      <c r="M114" s="2" t="str">
        <f>الحركات[من صندوق]&amp;"/"&amp;الحركات[إلى صندوق]</f>
        <v>الراتب/اجازات</v>
      </c>
      <c r="N114" s="2" t="str">
        <f>VLOOKUP(الحركات[من صندوق],Table1[],2,0)</f>
        <v>دخل</v>
      </c>
      <c r="O114" s="2" t="str">
        <f>VLOOKUP(الحركات[إلى صندوق],Table1[[الصندوق]:[نوعه]],2,0)</f>
        <v>صرف</v>
      </c>
    </row>
    <row r="115" spans="1:15" x14ac:dyDescent="0.3">
      <c r="A115">
        <v>201806</v>
      </c>
      <c r="B115" s="3"/>
      <c r="C115" t="s">
        <v>18</v>
      </c>
      <c r="D115" s="15">
        <f>VLOOKUP(الحركات[[#This Row],[من صندوق]],Table5[],5,0)</f>
        <v>225</v>
      </c>
      <c r="E115" t="s">
        <v>9</v>
      </c>
      <c r="F115" s="15">
        <f>VLOOKUP(الحركات[[#This Row],[إلى صندوق]],Table5[[الصندوق]:[الرصيد الفعلي]],5,0)</f>
        <v>200</v>
      </c>
      <c r="G115" s="15">
        <f>IF(VLOOKUP(الحركات[إلى صندوق],Table1[],3,0)=0,VLOOKUP(الحركات[[#This Row],[من صندوق]],Table1[[الصندوق]:[القيمة الشهرية]],3,0),VLOOKUP(الحركات[إلى صندوق],Table1[],3,0))</f>
        <v>200</v>
      </c>
      <c r="H115" s="22">
        <v>200</v>
      </c>
      <c r="I115" s="22"/>
      <c r="J115" t="s">
        <v>53</v>
      </c>
      <c r="L115" s="2" t="b">
        <f ca="1">AND(الحركات[[#This Row],[مدفوع من شهر]]&lt;=VALUE(TEXT($A$2,"YYYYMM")),الحركات[[#This Row],[الحالة]]="")</f>
        <v>1</v>
      </c>
      <c r="M115" s="2" t="str">
        <f>الحركات[من صندوق]&amp;"/"&amp;الحركات[إلى صندوق]</f>
        <v>الراتب/دورات</v>
      </c>
      <c r="N115" s="2" t="str">
        <f>VLOOKUP(الحركات[من صندوق],Table1[],2,0)</f>
        <v>دخل</v>
      </c>
      <c r="O115" s="2" t="str">
        <f>VLOOKUP(الحركات[إلى صندوق],Table1[[الصندوق]:[نوعه]],2,0)</f>
        <v>صرف</v>
      </c>
    </row>
    <row r="116" spans="1:15" x14ac:dyDescent="0.3">
      <c r="A116">
        <v>201806</v>
      </c>
      <c r="B116" s="3"/>
      <c r="C116" t="s">
        <v>18</v>
      </c>
      <c r="D116" s="15">
        <f>VLOOKUP(الحركات[[#This Row],[من صندوق]],Table5[],5,0)</f>
        <v>225</v>
      </c>
      <c r="E116" t="s">
        <v>22</v>
      </c>
      <c r="F116" s="15">
        <f>VLOOKUP(الحركات[[#This Row],[إلى صندوق]],Table5[[الصندوق]:[الرصيد الفعلي]],5,0)</f>
        <v>200</v>
      </c>
      <c r="G116" s="15">
        <f>IF(VLOOKUP(الحركات[إلى صندوق],Table1[],3,0)=0,VLOOKUP(الحركات[[#This Row],[من صندوق]],Table1[[الصندوق]:[القيمة الشهرية]],3,0),VLOOKUP(الحركات[إلى صندوق],Table1[],3,0))</f>
        <v>200</v>
      </c>
      <c r="H116" s="22">
        <v>200</v>
      </c>
      <c r="I116" s="22"/>
      <c r="J116" t="s">
        <v>54</v>
      </c>
      <c r="L116" s="2" t="b">
        <f ca="1">AND(الحركات[[#This Row],[مدفوع من شهر]]&lt;=VALUE(TEXT($A$2,"YYYYMM")),الحركات[[#This Row],[الحالة]]="")</f>
        <v>1</v>
      </c>
      <c r="M116" s="2" t="str">
        <f>الحركات[من صندوق]&amp;"/"&amp;الحركات[إلى صندوق]</f>
        <v>الراتب/زكاة</v>
      </c>
      <c r="N116" s="2" t="str">
        <f>VLOOKUP(الحركات[من صندوق],Table1[],2,0)</f>
        <v>دخل</v>
      </c>
      <c r="O116" s="2" t="str">
        <f>VLOOKUP(الحركات[إلى صندوق],Table1[[الصندوق]:[نوعه]],2,0)</f>
        <v>صرف</v>
      </c>
    </row>
    <row r="117" spans="1:15" x14ac:dyDescent="0.3">
      <c r="A117">
        <v>201806</v>
      </c>
      <c r="B117" s="3"/>
      <c r="C117" t="s">
        <v>18</v>
      </c>
      <c r="D117" s="15">
        <f>VLOOKUP(الحركات[[#This Row],[من صندوق]],Table5[],5,0)</f>
        <v>225</v>
      </c>
      <c r="E117" t="s">
        <v>10</v>
      </c>
      <c r="F117" s="15">
        <f>VLOOKUP(الحركات[[#This Row],[إلى صندوق]],Table5[[الصندوق]:[الرصيد الفعلي]],5,0)</f>
        <v>250</v>
      </c>
      <c r="G117" s="15">
        <f>IF(VLOOKUP(الحركات[إلى صندوق],Table1[],3,0)=0,VLOOKUP(الحركات[[#This Row],[من صندوق]],Table1[[الصندوق]:[القيمة الشهرية]],3,0),VLOOKUP(الحركات[إلى صندوق],Table1[],3,0))</f>
        <v>250</v>
      </c>
      <c r="H117" s="22">
        <v>250</v>
      </c>
      <c r="I117" s="22"/>
      <c r="J117" t="s">
        <v>55</v>
      </c>
      <c r="L117" s="2" t="b">
        <f ca="1">AND(الحركات[[#This Row],[مدفوع من شهر]]&lt;=VALUE(TEXT($A$2,"YYYYMM")),الحركات[[#This Row],[الحالة]]="")</f>
        <v>1</v>
      </c>
      <c r="M117" s="2" t="str">
        <f>الحركات[من صندوق]&amp;"/"&amp;الحركات[إلى صندوق]</f>
        <v>الراتب/صيانة السيارة</v>
      </c>
      <c r="N117" s="2" t="str">
        <f>VLOOKUP(الحركات[من صندوق],Table1[],2,0)</f>
        <v>دخل</v>
      </c>
      <c r="O117" s="2" t="str">
        <f>VLOOKUP(الحركات[إلى صندوق],Table1[[الصندوق]:[نوعه]],2,0)</f>
        <v>صرف</v>
      </c>
    </row>
    <row r="118" spans="1:15" x14ac:dyDescent="0.3">
      <c r="A118">
        <v>201806</v>
      </c>
      <c r="B118" s="3"/>
      <c r="C118" t="s">
        <v>18</v>
      </c>
      <c r="D118" s="15">
        <f>VLOOKUP(الحركات[[#This Row],[من صندوق]],Table5[],5,0)</f>
        <v>225</v>
      </c>
      <c r="E118" t="s">
        <v>15</v>
      </c>
      <c r="F118" s="15">
        <f>VLOOKUP(الحركات[[#This Row],[إلى صندوق]],Table5[[الصندوق]:[الرصيد الفعلي]],5,0)</f>
        <v>0</v>
      </c>
      <c r="G118" s="15">
        <f>IF(VLOOKUP(الحركات[إلى صندوق],Table1[],3,0)=0,VLOOKUP(الحركات[[#This Row],[من صندوق]],Table1[[الصندوق]:[القيمة الشهرية]],3,0),VLOOKUP(الحركات[إلى صندوق],Table1[],3,0))</f>
        <v>285</v>
      </c>
      <c r="H118" s="22">
        <v>285</v>
      </c>
      <c r="I118" s="22"/>
      <c r="J118" t="s">
        <v>56</v>
      </c>
      <c r="L118" s="2" t="b">
        <f ca="1">AND(الحركات[[#This Row],[مدفوع من شهر]]&lt;=VALUE(TEXT($A$2,"YYYYMM")),الحركات[[#This Row],[الحالة]]="")</f>
        <v>1</v>
      </c>
      <c r="M118" s="2" t="str">
        <f>الحركات[من صندوق]&amp;"/"&amp;الحركات[إلى صندوق]</f>
        <v>الراتب/ملابس</v>
      </c>
      <c r="N118" s="2" t="str">
        <f>VLOOKUP(الحركات[من صندوق],Table1[],2,0)</f>
        <v>دخل</v>
      </c>
      <c r="O118" s="2" t="str">
        <f>VLOOKUP(الحركات[إلى صندوق],Table1[[الصندوق]:[نوعه]],2,0)</f>
        <v>صرف</v>
      </c>
    </row>
    <row r="119" spans="1:15" x14ac:dyDescent="0.3">
      <c r="A119">
        <v>201806</v>
      </c>
      <c r="B119" s="3"/>
      <c r="C119" t="s">
        <v>18</v>
      </c>
      <c r="D119" s="15">
        <f>VLOOKUP(الحركات[[#This Row],[من صندوق]],Table5[],5,0)</f>
        <v>225</v>
      </c>
      <c r="E119" t="s">
        <v>1</v>
      </c>
      <c r="F119" s="15">
        <f>VLOOKUP(الحركات[[#This Row],[إلى صندوق]],Table5[[الصندوق]:[الرصيد الفعلي]],5,0)</f>
        <v>0</v>
      </c>
      <c r="G119" s="15">
        <f>IF(VLOOKUP(الحركات[إلى صندوق],Table1[],3,0)=0,VLOOKUP(الحركات[[#This Row],[من صندوق]],Table1[[الصندوق]:[القيمة الشهرية]],3,0),VLOOKUP(الحركات[إلى صندوق],Table1[],3,0))</f>
        <v>190</v>
      </c>
      <c r="H119" s="22">
        <v>190</v>
      </c>
      <c r="I119" s="22"/>
      <c r="J119" t="s">
        <v>57</v>
      </c>
      <c r="L119" s="2" t="b">
        <f ca="1">AND(الحركات[[#This Row],[مدفوع من شهر]]&lt;=VALUE(TEXT($A$2,"YYYYMM")),الحركات[[#This Row],[الحالة]]="")</f>
        <v>1</v>
      </c>
      <c r="M119" s="2" t="str">
        <f>الحركات[من صندوق]&amp;"/"&amp;الحركات[إلى صندوق]</f>
        <v>الراتب/هدايا</v>
      </c>
      <c r="N119" s="2" t="str">
        <f>VLOOKUP(الحركات[من صندوق],Table1[],2,0)</f>
        <v>دخل</v>
      </c>
      <c r="O119" s="2" t="str">
        <f>VLOOKUP(الحركات[إلى صندوق],Table1[[الصندوق]:[نوعه]],2,0)</f>
        <v>صرف</v>
      </c>
    </row>
    <row r="120" spans="1:15" x14ac:dyDescent="0.3">
      <c r="A120">
        <v>201806</v>
      </c>
      <c r="B120" s="3"/>
      <c r="C120" t="s">
        <v>18</v>
      </c>
      <c r="D120" s="15">
        <f>VLOOKUP(الحركات[[#This Row],[من صندوق]],Table5[],5,0)</f>
        <v>225</v>
      </c>
      <c r="E120" t="s">
        <v>4</v>
      </c>
      <c r="F120" s="15">
        <f>VLOOKUP(الحركات[[#This Row],[إلى صندوق]],Table5[[الصندوق]:[الرصيد الفعلي]],5,0)</f>
        <v>200</v>
      </c>
      <c r="G120" s="15">
        <f>IF(VLOOKUP(الحركات[إلى صندوق],Table1[],3,0)=0,VLOOKUP(الحركات[[#This Row],[من صندوق]],Table1[[الصندوق]:[القيمة الشهرية]],3,0),VLOOKUP(الحركات[إلى صندوق],Table1[],3,0))</f>
        <v>200</v>
      </c>
      <c r="H120" s="22">
        <v>200</v>
      </c>
      <c r="I120" s="22"/>
      <c r="J120" t="s">
        <v>58</v>
      </c>
      <c r="L120" s="2" t="b">
        <f ca="1">AND(الحركات[[#This Row],[مدفوع من شهر]]&lt;=VALUE(TEXT($A$2,"YYYYMM")),الحركات[[#This Row],[الحالة]]="")</f>
        <v>1</v>
      </c>
      <c r="M120" s="2" t="str">
        <f>الحركات[من صندوق]&amp;"/"&amp;الحركات[إلى صندوق]</f>
        <v>الراتب/طوارئ</v>
      </c>
      <c r="N120" s="2" t="str">
        <f>VLOOKUP(الحركات[من صندوق],Table1[],2,0)</f>
        <v>دخل</v>
      </c>
      <c r="O120" s="2" t="str">
        <f>VLOOKUP(الحركات[إلى صندوق],Table1[[الصندوق]:[نوعه]],2,0)</f>
        <v>صرف</v>
      </c>
    </row>
    <row r="121" spans="1:15" x14ac:dyDescent="0.3">
      <c r="A121">
        <v>201806</v>
      </c>
      <c r="B121" s="3"/>
      <c r="C121" t="s">
        <v>11</v>
      </c>
      <c r="D121" s="16">
        <f>VLOOKUP(الحركات[[#This Row],[من صندوق]],Table5[],5,0)</f>
        <v>0</v>
      </c>
      <c r="E121" t="s">
        <v>14</v>
      </c>
      <c r="F121" s="16">
        <f>VLOOKUP(الحركات[[#This Row],[إلى صندوق]],Table5[[الصندوق]:[الرصيد الفعلي]],5,0)</f>
        <v>5025</v>
      </c>
      <c r="G121" s="16">
        <f>IF(VLOOKUP(الحركات[إلى صندوق],Table1[],3,0)=0,VLOOKUP(الحركات[[#This Row],[من صندوق]],Table1[[الصندوق]:[القيمة الشهرية]],3,0),VLOOKUP(الحركات[إلى صندوق],Table1[],3,0))</f>
        <v>250</v>
      </c>
      <c r="H121" s="22">
        <v>250</v>
      </c>
      <c r="I121" s="22"/>
      <c r="J121" t="s">
        <v>59</v>
      </c>
      <c r="L121" s="7" t="b">
        <f ca="1">AND(الحركات[[#This Row],[مدفوع من شهر]]&lt;=VALUE(TEXT($A$2,"YYYYMM")),الحركات[[#This Row],[الحالة]]="")</f>
        <v>1</v>
      </c>
      <c r="M121" s="7" t="str">
        <f>الحركات[من صندوق]&amp;"/"&amp;الحركات[إلى صندوق]</f>
        <v>فواتير/صرف</v>
      </c>
      <c r="N121" s="7" t="str">
        <f>VLOOKUP(الحركات[من صندوق],Table1[],2,0)</f>
        <v>صرف</v>
      </c>
      <c r="O121" s="7" t="str">
        <f>VLOOKUP(الحركات[إلى صندوق],Table1[[الصندوق]:[نوعه]],2,0)</f>
        <v>خارجي</v>
      </c>
    </row>
    <row r="122" spans="1:15" x14ac:dyDescent="0.3">
      <c r="A122">
        <v>201806</v>
      </c>
      <c r="B122" s="3"/>
      <c r="C122" t="s">
        <v>13</v>
      </c>
      <c r="D122" s="16">
        <f>VLOOKUP(الحركات[[#This Row],[من صندوق]],Table5[],5,0)</f>
        <v>0</v>
      </c>
      <c r="E122" t="s">
        <v>14</v>
      </c>
      <c r="F122" s="16">
        <f>VLOOKUP(الحركات[[#This Row],[إلى صندوق]],Table5[[الصندوق]:[الرصيد الفعلي]],5,0)</f>
        <v>5025</v>
      </c>
      <c r="G122" s="16">
        <f>IF(VLOOKUP(الحركات[إلى صندوق],Table1[],3,0)=0,VLOOKUP(الحركات[[#This Row],[من صندوق]],Table1[[الصندوق]:[القيمة الشهرية]],3,0),VLOOKUP(الحركات[إلى صندوق],Table1[],3,0))</f>
        <v>3800</v>
      </c>
      <c r="H122" s="22">
        <v>3800</v>
      </c>
      <c r="I122" s="22"/>
      <c r="J122" t="s">
        <v>60</v>
      </c>
      <c r="L122" s="7" t="b">
        <f ca="1">AND(الحركات[[#This Row],[مدفوع من شهر]]&lt;=VALUE(TEXT($A$2,"YYYYMM")),الحركات[[#This Row],[الحالة]]="")</f>
        <v>1</v>
      </c>
      <c r="M122" s="7" t="str">
        <f>الحركات[من صندوق]&amp;"/"&amp;الحركات[إلى صندوق]</f>
        <v>مصاريف شهرية/صرف</v>
      </c>
      <c r="N122" s="7" t="str">
        <f>VLOOKUP(الحركات[من صندوق],Table1[],2,0)</f>
        <v>صرف</v>
      </c>
      <c r="O122" s="7" t="str">
        <f>VLOOKUP(الحركات[إلى صندوق],Table1[[الصندوق]:[نوعه]],2,0)</f>
        <v>خارجي</v>
      </c>
    </row>
    <row r="123" spans="1:15" x14ac:dyDescent="0.3">
      <c r="A123">
        <v>201806</v>
      </c>
      <c r="B123" s="3"/>
      <c r="C123" t="s">
        <v>0</v>
      </c>
      <c r="D123" s="16">
        <f>VLOOKUP(الحركات[[#This Row],[من صندوق]],Table5[],5,0)</f>
        <v>0</v>
      </c>
      <c r="E123" t="s">
        <v>14</v>
      </c>
      <c r="F123" s="16">
        <f>VLOOKUP(الحركات[[#This Row],[إلى صندوق]],Table5[[الصندوق]:[الرصيد الفعلي]],5,0)</f>
        <v>5025</v>
      </c>
      <c r="G123" s="16">
        <f>IF(VLOOKUP(الحركات[إلى صندوق],Table1[],3,0)=0,VLOOKUP(الحركات[[#This Row],[من صندوق]],Table1[[الصندوق]:[القيمة الشهرية]],3,0),VLOOKUP(الحركات[إلى صندوق],Table1[],3,0))</f>
        <v>500</v>
      </c>
      <c r="H123" s="22">
        <v>500</v>
      </c>
      <c r="I123" s="22"/>
      <c r="J123" t="s">
        <v>66</v>
      </c>
      <c r="L123" s="7" t="b">
        <f ca="1">AND(الحركات[[#This Row],[مدفوع من شهر]]&lt;=VALUE(TEXT($A$2,"YYYYMM")),الحركات[[#This Row],[الحالة]]="")</f>
        <v>1</v>
      </c>
      <c r="M123" s="7" t="str">
        <f>الحركات[من صندوق]&amp;"/"&amp;الحركات[إلى صندوق]</f>
        <v>توفير/صرف</v>
      </c>
      <c r="N123" s="7" t="str">
        <f>VLOOKUP(الحركات[من صندوق],Table1[],2,0)</f>
        <v>صرف</v>
      </c>
      <c r="O123" s="7" t="str">
        <f>VLOOKUP(الحركات[إلى صندوق],Table1[[الصندوق]:[نوعه]],2,0)</f>
        <v>خارجي</v>
      </c>
    </row>
    <row r="124" spans="1:15" x14ac:dyDescent="0.3">
      <c r="A124">
        <v>201806</v>
      </c>
      <c r="B124" s="3"/>
      <c r="C124" t="s">
        <v>10</v>
      </c>
      <c r="D124" s="17">
        <f>VLOOKUP(الحركات[[#This Row],[من صندوق]],Table5[],5,0)</f>
        <v>250</v>
      </c>
      <c r="E124" t="s">
        <v>14</v>
      </c>
      <c r="F124" s="17">
        <f>VLOOKUP(الحركات[[#This Row],[إلى صندوق]],Table5[[الصندوق]:[الرصيد الفعلي]],5,0)</f>
        <v>5025</v>
      </c>
      <c r="G124" s="17">
        <f>IF(VLOOKUP(الحركات[إلى صندوق],Table1[],3,0)=0,VLOOKUP(الحركات[[#This Row],[من صندوق]],Table1[[الصندوق]:[القيمة الشهرية]],3,0),VLOOKUP(الحركات[إلى صندوق],Table1[],3,0))</f>
        <v>250</v>
      </c>
      <c r="H124" s="22">
        <v>1500</v>
      </c>
      <c r="I124" s="22"/>
      <c r="J124" t="s">
        <v>70</v>
      </c>
      <c r="L124" s="8" t="b">
        <f ca="1">AND(الحركات[[#This Row],[مدفوع من شهر]]&lt;=VALUE(TEXT($A$2,"YYYYMM")),الحركات[[#This Row],[الحالة]]="")</f>
        <v>1</v>
      </c>
      <c r="M124" s="8" t="str">
        <f>الحركات[من صندوق]&amp;"/"&amp;الحركات[إلى صندوق]</f>
        <v>صيانة السيارة/صرف</v>
      </c>
      <c r="N124" s="8" t="str">
        <f>VLOOKUP(الحركات[من صندوق],Table1[],2,0)</f>
        <v>صرف</v>
      </c>
      <c r="O124" s="8" t="str">
        <f>VLOOKUP(الحركات[إلى صندوق],Table1[[الصندوق]:[نوعه]],2,0)</f>
        <v>خارجي</v>
      </c>
    </row>
    <row r="125" spans="1:15" x14ac:dyDescent="0.3">
      <c r="A125">
        <v>201806</v>
      </c>
      <c r="B125" s="3"/>
      <c r="C125" t="s">
        <v>15</v>
      </c>
      <c r="D125" s="17">
        <f>VLOOKUP(الحركات[[#This Row],[من صندوق]],Table5[],5,0)</f>
        <v>0</v>
      </c>
      <c r="E125" t="s">
        <v>14</v>
      </c>
      <c r="F125" s="17">
        <f>VLOOKUP(الحركات[[#This Row],[إلى صندوق]],Table5[[الصندوق]:[الرصيد الفعلي]],5,0)</f>
        <v>5025</v>
      </c>
      <c r="G125" s="17">
        <f>IF(VLOOKUP(الحركات[إلى صندوق],Table1[],3,0)=0,VLOOKUP(الحركات[[#This Row],[من صندوق]],Table1[[الصندوق]:[القيمة الشهرية]],3,0),VLOOKUP(الحركات[إلى صندوق],Table1[],3,0))</f>
        <v>285</v>
      </c>
      <c r="H125" s="22">
        <v>285</v>
      </c>
      <c r="I125" s="22"/>
      <c r="J125" t="s">
        <v>71</v>
      </c>
      <c r="L125" s="8" t="b">
        <f ca="1">AND(الحركات[[#This Row],[مدفوع من شهر]]&lt;=VALUE(TEXT($A$2,"YYYYMM")),الحركات[[#This Row],[الحالة]]="")</f>
        <v>1</v>
      </c>
      <c r="M125" s="8" t="str">
        <f>الحركات[من صندوق]&amp;"/"&amp;الحركات[إلى صندوق]</f>
        <v>ملابس/صرف</v>
      </c>
      <c r="N125" s="8" t="str">
        <f>VLOOKUP(الحركات[من صندوق],Table1[],2,0)</f>
        <v>صرف</v>
      </c>
      <c r="O125" s="8" t="str">
        <f>VLOOKUP(الحركات[إلى صندوق],Table1[[الصندوق]:[نوعه]],2,0)</f>
        <v>خارجي</v>
      </c>
    </row>
    <row r="126" spans="1:15" x14ac:dyDescent="0.3">
      <c r="A126">
        <v>201806</v>
      </c>
      <c r="B126" s="3"/>
      <c r="C126" t="s">
        <v>1</v>
      </c>
      <c r="D126" s="17">
        <f>VLOOKUP(الحركات[[#This Row],[من صندوق]],Table5[],5,0)</f>
        <v>0</v>
      </c>
      <c r="E126" t="s">
        <v>14</v>
      </c>
      <c r="F126" s="17">
        <f>VLOOKUP(الحركات[[#This Row],[إلى صندوق]],Table5[[الصندوق]:[الرصيد الفعلي]],5,0)</f>
        <v>5025</v>
      </c>
      <c r="G126" s="17">
        <f>IF(VLOOKUP(الحركات[إلى صندوق],Table1[],3,0)=0,VLOOKUP(الحركات[[#This Row],[من صندوق]],Table1[[الصندوق]:[القيمة الشهرية]],3,0),VLOOKUP(الحركات[إلى صندوق],Table1[],3,0))</f>
        <v>190</v>
      </c>
      <c r="H126" s="22">
        <v>190</v>
      </c>
      <c r="I126" s="22"/>
      <c r="J126" t="s">
        <v>72</v>
      </c>
      <c r="L126" s="8" t="b">
        <f ca="1">AND(الحركات[[#This Row],[مدفوع من شهر]]&lt;=VALUE(TEXT($A$2,"YYYYMM")),الحركات[[#This Row],[الحالة]]="")</f>
        <v>1</v>
      </c>
      <c r="M126" s="8" t="str">
        <f>الحركات[من صندوق]&amp;"/"&amp;الحركات[إلى صندوق]</f>
        <v>هدايا/صرف</v>
      </c>
      <c r="N126" s="8" t="str">
        <f>VLOOKUP(الحركات[من صندوق],Table1[],2,0)</f>
        <v>صرف</v>
      </c>
      <c r="O126" s="8" t="str">
        <f>VLOOKUP(الحركات[إلى صندوق],Table1[[الصندوق]:[نوعه]],2,0)</f>
        <v>خارجي</v>
      </c>
    </row>
    <row r="127" spans="1:15" x14ac:dyDescent="0.3">
      <c r="A127">
        <v>201806</v>
      </c>
      <c r="B127" s="3"/>
      <c r="C127" t="s">
        <v>4</v>
      </c>
      <c r="D127" s="17">
        <f>VLOOKUP(الحركات[[#This Row],[من صندوق]],Table5[],5,0)</f>
        <v>200</v>
      </c>
      <c r="E127" t="s">
        <v>14</v>
      </c>
      <c r="F127" s="17">
        <f>VLOOKUP(الحركات[[#This Row],[إلى صندوق]],Table5[[الصندوق]:[الرصيد الفعلي]],5,0)</f>
        <v>5025</v>
      </c>
      <c r="G127" s="17">
        <f>IF(VLOOKUP(الحركات[إلى صندوق],Table1[],3,0)=0,VLOOKUP(الحركات[[#This Row],[من صندوق]],Table1[[الصندوق]:[القيمة الشهرية]],3,0),VLOOKUP(الحركات[إلى صندوق],Table1[],3,0))</f>
        <v>200</v>
      </c>
      <c r="H127" s="22">
        <v>1200</v>
      </c>
      <c r="I127" s="22"/>
      <c r="J127" t="s">
        <v>73</v>
      </c>
      <c r="L127" s="8" t="b">
        <f ca="1">AND(الحركات[[#This Row],[مدفوع من شهر]]&lt;=VALUE(TEXT($A$2,"YYYYMM")),الحركات[[#This Row],[الحالة]]="")</f>
        <v>1</v>
      </c>
      <c r="M127" s="8" t="str">
        <f>الحركات[من صندوق]&amp;"/"&amp;الحركات[إلى صندوق]</f>
        <v>طوارئ/صرف</v>
      </c>
      <c r="N127" s="8" t="str">
        <f>VLOOKUP(الحركات[من صندوق],Table1[],2,0)</f>
        <v>صرف</v>
      </c>
      <c r="O127" s="8" t="str">
        <f>VLOOKUP(الحركات[إلى صندوق],Table1[[الصندوق]:[نوعه]],2,0)</f>
        <v>خارجي</v>
      </c>
    </row>
    <row r="128" spans="1:15" x14ac:dyDescent="0.3">
      <c r="A128">
        <v>201806</v>
      </c>
      <c r="B128" s="3"/>
      <c r="C128" t="s">
        <v>21</v>
      </c>
      <c r="D128" s="19">
        <f>VLOOKUP(الحركات[[#This Row],[من صندوق]],Table5[],5,0)</f>
        <v>1500</v>
      </c>
      <c r="E128" t="s">
        <v>12</v>
      </c>
      <c r="F128" s="19">
        <f>VLOOKUP(الحركات[[#This Row],[إلى صندوق]],Table5[[الصندوق]:[الرصيد الفعلي]],5,0)</f>
        <v>400</v>
      </c>
      <c r="G128" s="19">
        <f>IF(VLOOKUP(الحركات[إلى صندوق],Table1[],3,0)=0,VLOOKUP(الحركات[[#This Row],[من صندوق]],Table1[[الصندوق]:[القيمة الشهرية]],3,0),VLOOKUP(الحركات[إلى صندوق],Table1[],3,0))</f>
        <v>400</v>
      </c>
      <c r="H128" s="22">
        <v>1600</v>
      </c>
      <c r="I128" s="22"/>
      <c r="J128" t="s">
        <v>89</v>
      </c>
      <c r="L128" s="12" t="b">
        <f ca="1">AND(الحركات[[#This Row],[مدفوع من شهر]]&lt;=VALUE(TEXT($A$2,"YYYYMM")),الحركات[[#This Row],[الحالة]]="")</f>
        <v>1</v>
      </c>
      <c r="M128" s="12" t="str">
        <f>الحركات[من صندوق]&amp;"/"&amp;الحركات[إلى صندوق]</f>
        <v>ايجار المنزل/اجازات</v>
      </c>
      <c r="N128" s="12" t="str">
        <f>VLOOKUP(الحركات[من صندوق],Table1[],2,0)</f>
        <v>صرف</v>
      </c>
      <c r="O128" s="12" t="str">
        <f>VLOOKUP(الحركات[إلى صندوق],Table1[[الصندوق]:[نوعه]],2,0)</f>
        <v>صرف</v>
      </c>
    </row>
    <row r="129" spans="1:15" x14ac:dyDescent="0.3">
      <c r="A129">
        <v>201806</v>
      </c>
      <c r="B129" s="3"/>
      <c r="C129" t="s">
        <v>21</v>
      </c>
      <c r="D129" s="19">
        <f>VLOOKUP(الحركات[[#This Row],[من صندوق]],Table5[],5,0)</f>
        <v>1500</v>
      </c>
      <c r="E129" t="s">
        <v>9</v>
      </c>
      <c r="F129" s="19">
        <f>VLOOKUP(الحركات[[#This Row],[إلى صندوق]],Table5[[الصندوق]:[الرصيد الفعلي]],5,0)</f>
        <v>200</v>
      </c>
      <c r="G129" s="19">
        <f>IF(VLOOKUP(الحركات[إلى صندوق],Table1[],3,0)=0,VLOOKUP(الحركات[[#This Row],[من صندوق]],Table1[[الصندوق]:[القيمة الشهرية]],3,0),VLOOKUP(الحركات[إلى صندوق],Table1[],3,0))</f>
        <v>200</v>
      </c>
      <c r="H129" s="22">
        <v>800</v>
      </c>
      <c r="I129" s="22"/>
      <c r="J129" t="s">
        <v>89</v>
      </c>
      <c r="L129" s="12" t="b">
        <f ca="1">AND(الحركات[[#This Row],[مدفوع من شهر]]&lt;=VALUE(TEXT($A$2,"YYYYMM")),الحركات[[#This Row],[الحالة]]="")</f>
        <v>1</v>
      </c>
      <c r="M129" s="12" t="str">
        <f>الحركات[من صندوق]&amp;"/"&amp;الحركات[إلى صندوق]</f>
        <v>ايجار المنزل/دورات</v>
      </c>
      <c r="N129" s="12" t="str">
        <f>VLOOKUP(الحركات[من صندوق],Table1[],2,0)</f>
        <v>صرف</v>
      </c>
      <c r="O129" s="12" t="str">
        <f>VLOOKUP(الحركات[إلى صندوق],Table1[[الصندوق]:[نوعه]],2,0)</f>
        <v>صرف</v>
      </c>
    </row>
    <row r="130" spans="1:15" x14ac:dyDescent="0.3">
      <c r="A130">
        <v>201806</v>
      </c>
      <c r="B130" s="3"/>
      <c r="C130" t="s">
        <v>21</v>
      </c>
      <c r="D130" s="19">
        <f>VLOOKUP(الحركات[[#This Row],[من صندوق]],Table5[],5,0)</f>
        <v>1500</v>
      </c>
      <c r="E130" t="s">
        <v>22</v>
      </c>
      <c r="F130" s="19">
        <f>VLOOKUP(الحركات[[#This Row],[إلى صندوق]],Table5[[الصندوق]:[الرصيد الفعلي]],5,0)</f>
        <v>200</v>
      </c>
      <c r="G130" s="19">
        <f>IF(VLOOKUP(الحركات[إلى صندوق],Table1[],3,0)=0,VLOOKUP(الحركات[[#This Row],[من صندوق]],Table1[[الصندوق]:[القيمة الشهرية]],3,0),VLOOKUP(الحركات[إلى صندوق],Table1[],3,0))</f>
        <v>200</v>
      </c>
      <c r="H130" s="22">
        <v>600</v>
      </c>
      <c r="I130" s="22"/>
      <c r="J130" t="s">
        <v>89</v>
      </c>
      <c r="L130" s="12" t="b">
        <f ca="1">AND(الحركات[[#This Row],[مدفوع من شهر]]&lt;=VALUE(TEXT($A$2,"YYYYMM")),الحركات[[#This Row],[الحالة]]="")</f>
        <v>1</v>
      </c>
      <c r="M130" s="12" t="str">
        <f>الحركات[من صندوق]&amp;"/"&amp;الحركات[إلى صندوق]</f>
        <v>ايجار المنزل/زكاة</v>
      </c>
      <c r="N130" s="12" t="str">
        <f>VLOOKUP(الحركات[من صندوق],Table1[],2,0)</f>
        <v>صرف</v>
      </c>
      <c r="O130" s="12" t="str">
        <f>VLOOKUP(الحركات[إلى صندوق],Table1[[الصندوق]:[نوعه]],2,0)</f>
        <v>صرف</v>
      </c>
    </row>
    <row r="131" spans="1:15" x14ac:dyDescent="0.3">
      <c r="A131">
        <v>201807</v>
      </c>
      <c r="B131" s="3"/>
      <c r="C131" t="s">
        <v>20</v>
      </c>
      <c r="D131" s="15">
        <f>VLOOKUP(الحركات[[#This Row],[من صندوق]],Table5[],5,0)</f>
        <v>-10000</v>
      </c>
      <c r="E131" t="s">
        <v>18</v>
      </c>
      <c r="F131" s="15">
        <f>VLOOKUP(الحركات[[#This Row],[إلى صندوق]],Table5[[الصندوق]:[الرصيد الفعلي]],5,0)</f>
        <v>225</v>
      </c>
      <c r="G131" s="15">
        <f>IF(VLOOKUP(الحركات[إلى صندوق],Table1[],3,0)=0,VLOOKUP(الحركات[[#This Row],[من صندوق]],Table1[[الصندوق]:[القيمة الشهرية]],3,0),VLOOKUP(الحركات[إلى صندوق],Table1[],3,0))</f>
        <v>10000</v>
      </c>
      <c r="H131" s="22">
        <v>10000</v>
      </c>
      <c r="I131" s="22"/>
      <c r="J131" t="s">
        <v>40</v>
      </c>
      <c r="L131" s="2" t="b">
        <f ca="1">AND(الحركات[[#This Row],[مدفوع من شهر]]&lt;=VALUE(TEXT($A$2,"YYYYMM")),الحركات[[#This Row],[الحالة]]="")</f>
        <v>1</v>
      </c>
      <c r="M131" s="2" t="str">
        <f>الحركات[من صندوق]&amp;"/"&amp;الحركات[إلى صندوق]</f>
        <v>الشركة/الراتب</v>
      </c>
      <c r="N131" s="2" t="str">
        <f>VLOOKUP(الحركات[من صندوق],Table1[],2,0)</f>
        <v>خارجي</v>
      </c>
      <c r="O131" s="2" t="str">
        <f>VLOOKUP(الحركات[إلى صندوق],Table1[[الصندوق]:[نوعه]],2,0)</f>
        <v>دخل</v>
      </c>
    </row>
    <row r="132" spans="1:15" x14ac:dyDescent="0.3">
      <c r="A132">
        <v>201807</v>
      </c>
      <c r="B132" s="3"/>
      <c r="C132" t="s">
        <v>18</v>
      </c>
      <c r="D132" s="15">
        <f>VLOOKUP(الحركات[[#This Row],[من صندوق]],Table5[],5,0)</f>
        <v>225</v>
      </c>
      <c r="E132" t="s">
        <v>11</v>
      </c>
      <c r="F132" s="15">
        <f>VLOOKUP(الحركات[[#This Row],[إلى صندوق]],Table5[[الصندوق]:[الرصيد الفعلي]],5,0)</f>
        <v>0</v>
      </c>
      <c r="G132" s="15">
        <f>IF(VLOOKUP(الحركات[إلى صندوق],Table1[],3,0)=0,VLOOKUP(الحركات[[#This Row],[من صندوق]],Table1[[الصندوق]:[القيمة الشهرية]],3,0),VLOOKUP(الحركات[إلى صندوق],Table1[],3,0))</f>
        <v>250</v>
      </c>
      <c r="H132" s="22">
        <v>250</v>
      </c>
      <c r="I132" s="22"/>
      <c r="J132" t="s">
        <v>47</v>
      </c>
      <c r="L132" s="2" t="b">
        <f ca="1">AND(الحركات[[#This Row],[مدفوع من شهر]]&lt;=VALUE(TEXT($A$2,"YYYYMM")),الحركات[[#This Row],[الحالة]]="")</f>
        <v>1</v>
      </c>
      <c r="M132" s="2" t="str">
        <f>الحركات[من صندوق]&amp;"/"&amp;الحركات[إلى صندوق]</f>
        <v>الراتب/فواتير</v>
      </c>
      <c r="N132" s="2" t="str">
        <f>VLOOKUP(الحركات[من صندوق],Table1[],2,0)</f>
        <v>دخل</v>
      </c>
      <c r="O132" s="2" t="str">
        <f>VLOOKUP(الحركات[إلى صندوق],Table1[[الصندوق]:[نوعه]],2,0)</f>
        <v>صرف</v>
      </c>
    </row>
    <row r="133" spans="1:15" x14ac:dyDescent="0.3">
      <c r="A133">
        <v>201807</v>
      </c>
      <c r="B133" s="3"/>
      <c r="C133" t="s">
        <v>18</v>
      </c>
      <c r="D133" s="15">
        <f>VLOOKUP(الحركات[[#This Row],[من صندوق]],Table5[],5,0)</f>
        <v>225</v>
      </c>
      <c r="E133" t="s">
        <v>13</v>
      </c>
      <c r="F133" s="15">
        <f>VLOOKUP(الحركات[[#This Row],[إلى صندوق]],Table5[[الصندوق]:[الرصيد الفعلي]],5,0)</f>
        <v>0</v>
      </c>
      <c r="G133" s="15">
        <f>IF(VLOOKUP(الحركات[إلى صندوق],Table1[],3,0)=0,VLOOKUP(الحركات[[#This Row],[من صندوق]],Table1[[الصندوق]:[القيمة الشهرية]],3,0),VLOOKUP(الحركات[إلى صندوق],Table1[],3,0))</f>
        <v>3800</v>
      </c>
      <c r="H133" s="22">
        <v>3800</v>
      </c>
      <c r="I133" s="22"/>
      <c r="J133" t="s">
        <v>48</v>
      </c>
      <c r="L133" s="2" t="b">
        <f ca="1">AND(الحركات[[#This Row],[مدفوع من شهر]]&lt;=VALUE(TEXT($A$2,"YYYYMM")),الحركات[[#This Row],[الحالة]]="")</f>
        <v>1</v>
      </c>
      <c r="M133" s="2" t="str">
        <f>الحركات[من صندوق]&amp;"/"&amp;الحركات[إلى صندوق]</f>
        <v>الراتب/مصاريف شهرية</v>
      </c>
      <c r="N133" s="2" t="str">
        <f>VLOOKUP(الحركات[من صندوق],Table1[],2,0)</f>
        <v>دخل</v>
      </c>
      <c r="O133" s="2" t="str">
        <f>VLOOKUP(الحركات[إلى صندوق],Table1[[الصندوق]:[نوعه]],2,0)</f>
        <v>صرف</v>
      </c>
    </row>
    <row r="134" spans="1:15" x14ac:dyDescent="0.3">
      <c r="A134">
        <v>201807</v>
      </c>
      <c r="B134" s="3"/>
      <c r="C134" t="s">
        <v>18</v>
      </c>
      <c r="D134" s="15">
        <f>VLOOKUP(الحركات[[#This Row],[من صندوق]],Table5[],5,0)</f>
        <v>225</v>
      </c>
      <c r="E134" t="s">
        <v>3</v>
      </c>
      <c r="F134" s="15">
        <f>VLOOKUP(الحركات[[#This Row],[إلى صندوق]],Table5[[الصندوق]:[الرصيد الفعلي]],5,0)</f>
        <v>2000</v>
      </c>
      <c r="G134" s="15">
        <f>IF(VLOOKUP(الحركات[إلى صندوق],Table1[],3,0)=0,VLOOKUP(الحركات[[#This Row],[من صندوق]],Table1[[الصندوق]:[القيمة الشهرية]],3,0),VLOOKUP(الحركات[إلى صندوق],Table1[],3,0))</f>
        <v>2000</v>
      </c>
      <c r="H134" s="22">
        <v>2000</v>
      </c>
      <c r="I134" s="22"/>
      <c r="J134" t="s">
        <v>49</v>
      </c>
      <c r="L134" s="2" t="b">
        <f ca="1">AND(الحركات[[#This Row],[مدفوع من شهر]]&lt;=VALUE(TEXT($A$2,"YYYYMM")),الحركات[[#This Row],[الحالة]]="")</f>
        <v>1</v>
      </c>
      <c r="M134" s="2" t="str">
        <f>الحركات[من صندوق]&amp;"/"&amp;الحركات[إلى صندوق]</f>
        <v>الراتب/مدارس</v>
      </c>
      <c r="N134" s="2" t="str">
        <f>VLOOKUP(الحركات[من صندوق],Table1[],2,0)</f>
        <v>دخل</v>
      </c>
      <c r="O134" s="2" t="str">
        <f>VLOOKUP(الحركات[إلى صندوق],Table1[[الصندوق]:[نوعه]],2,0)</f>
        <v>صرف</v>
      </c>
    </row>
    <row r="135" spans="1:15" x14ac:dyDescent="0.3">
      <c r="A135">
        <v>201807</v>
      </c>
      <c r="B135" s="3"/>
      <c r="C135" t="s">
        <v>18</v>
      </c>
      <c r="D135" s="15">
        <f>VLOOKUP(الحركات[[#This Row],[من صندوق]],Table5[],5,0)</f>
        <v>225</v>
      </c>
      <c r="E135" t="s">
        <v>21</v>
      </c>
      <c r="F135" s="15">
        <f>VLOOKUP(الحركات[[#This Row],[إلى صندوق]],Table5[[الصندوق]:[الرصيد الفعلي]],5,0)</f>
        <v>1500</v>
      </c>
      <c r="G135" s="15">
        <f>IF(VLOOKUP(الحركات[إلى صندوق],Table1[],3,0)=0,VLOOKUP(الحركات[[#This Row],[من صندوق]],Table1[[الصندوق]:[القيمة الشهرية]],3,0),VLOOKUP(الحركات[إلى صندوق],Table1[],3,0))</f>
        <v>1500</v>
      </c>
      <c r="H135" s="22">
        <v>1500</v>
      </c>
      <c r="I135" s="22"/>
      <c r="J135" t="s">
        <v>50</v>
      </c>
      <c r="L135" s="2" t="b">
        <f ca="1">AND(الحركات[[#This Row],[مدفوع من شهر]]&lt;=VALUE(TEXT($A$2,"YYYYMM")),الحركات[[#This Row],[الحالة]]="")</f>
        <v>1</v>
      </c>
      <c r="M135" s="2" t="str">
        <f>الحركات[من صندوق]&amp;"/"&amp;الحركات[إلى صندوق]</f>
        <v>الراتب/ايجار المنزل</v>
      </c>
      <c r="N135" s="2" t="str">
        <f>VLOOKUP(الحركات[من صندوق],Table1[],2,0)</f>
        <v>دخل</v>
      </c>
      <c r="O135" s="2" t="str">
        <f>VLOOKUP(الحركات[إلى صندوق],Table1[[الصندوق]:[نوعه]],2,0)</f>
        <v>صرف</v>
      </c>
    </row>
    <row r="136" spans="1:15" x14ac:dyDescent="0.3">
      <c r="A136">
        <v>201807</v>
      </c>
      <c r="B136" s="3"/>
      <c r="C136" t="s">
        <v>18</v>
      </c>
      <c r="D136" s="15">
        <f>VLOOKUP(الحركات[[#This Row],[من صندوق]],Table5[],5,0)</f>
        <v>225</v>
      </c>
      <c r="E136" t="s">
        <v>0</v>
      </c>
      <c r="F136" s="15">
        <f>VLOOKUP(الحركات[[#This Row],[إلى صندوق]],Table5[[الصندوق]:[الرصيد الفعلي]],5,0)</f>
        <v>0</v>
      </c>
      <c r="G136" s="15">
        <f>IF(VLOOKUP(الحركات[إلى صندوق],Table1[],3,0)=0,VLOOKUP(الحركات[[#This Row],[من صندوق]],Table1[[الصندوق]:[القيمة الشهرية]],3,0),VLOOKUP(الحركات[إلى صندوق],Table1[],3,0))</f>
        <v>500</v>
      </c>
      <c r="H136" s="22">
        <v>500</v>
      </c>
      <c r="I136" s="22"/>
      <c r="J136" t="s">
        <v>51</v>
      </c>
      <c r="L136" s="2" t="b">
        <f ca="1">AND(الحركات[[#This Row],[مدفوع من شهر]]&lt;=VALUE(TEXT($A$2,"YYYYMM")),الحركات[[#This Row],[الحالة]]="")</f>
        <v>1</v>
      </c>
      <c r="M136" s="2" t="str">
        <f>الحركات[من صندوق]&amp;"/"&amp;الحركات[إلى صندوق]</f>
        <v>الراتب/توفير</v>
      </c>
      <c r="N136" s="2" t="str">
        <f>VLOOKUP(الحركات[من صندوق],Table1[],2,0)</f>
        <v>دخل</v>
      </c>
      <c r="O136" s="2" t="str">
        <f>VLOOKUP(الحركات[إلى صندوق],Table1[[الصندوق]:[نوعه]],2,0)</f>
        <v>صرف</v>
      </c>
    </row>
    <row r="137" spans="1:15" x14ac:dyDescent="0.3">
      <c r="A137">
        <v>201807</v>
      </c>
      <c r="B137" s="3"/>
      <c r="C137" t="s">
        <v>18</v>
      </c>
      <c r="D137" s="15">
        <f>VLOOKUP(الحركات[[#This Row],[من صندوق]],Table5[],5,0)</f>
        <v>225</v>
      </c>
      <c r="E137" t="s">
        <v>12</v>
      </c>
      <c r="F137" s="15">
        <f>VLOOKUP(الحركات[[#This Row],[إلى صندوق]],Table5[[الصندوق]:[الرصيد الفعلي]],5,0)</f>
        <v>400</v>
      </c>
      <c r="G137" s="15">
        <f>IF(VLOOKUP(الحركات[إلى صندوق],Table1[],3,0)=0,VLOOKUP(الحركات[[#This Row],[من صندوق]],Table1[[الصندوق]:[القيمة الشهرية]],3,0),VLOOKUP(الحركات[إلى صندوق],Table1[],3,0))</f>
        <v>400</v>
      </c>
      <c r="H137" s="22">
        <v>400</v>
      </c>
      <c r="I137" s="22"/>
      <c r="J137" t="s">
        <v>52</v>
      </c>
      <c r="L137" s="2" t="b">
        <f ca="1">AND(الحركات[[#This Row],[مدفوع من شهر]]&lt;=VALUE(TEXT($A$2,"YYYYMM")),الحركات[[#This Row],[الحالة]]="")</f>
        <v>1</v>
      </c>
      <c r="M137" s="2" t="str">
        <f>الحركات[من صندوق]&amp;"/"&amp;الحركات[إلى صندوق]</f>
        <v>الراتب/اجازات</v>
      </c>
      <c r="N137" s="2" t="str">
        <f>VLOOKUP(الحركات[من صندوق],Table1[],2,0)</f>
        <v>دخل</v>
      </c>
      <c r="O137" s="2" t="str">
        <f>VLOOKUP(الحركات[إلى صندوق],Table1[[الصندوق]:[نوعه]],2,0)</f>
        <v>صرف</v>
      </c>
    </row>
    <row r="138" spans="1:15" x14ac:dyDescent="0.3">
      <c r="A138">
        <v>201807</v>
      </c>
      <c r="B138" s="3"/>
      <c r="C138" t="s">
        <v>18</v>
      </c>
      <c r="D138" s="15">
        <f>VLOOKUP(الحركات[[#This Row],[من صندوق]],Table5[],5,0)</f>
        <v>225</v>
      </c>
      <c r="E138" t="s">
        <v>9</v>
      </c>
      <c r="F138" s="15">
        <f>VLOOKUP(الحركات[[#This Row],[إلى صندوق]],Table5[[الصندوق]:[الرصيد الفعلي]],5,0)</f>
        <v>200</v>
      </c>
      <c r="G138" s="15">
        <f>IF(VLOOKUP(الحركات[إلى صندوق],Table1[],3,0)=0,VLOOKUP(الحركات[[#This Row],[من صندوق]],Table1[[الصندوق]:[القيمة الشهرية]],3,0),VLOOKUP(الحركات[إلى صندوق],Table1[],3,0))</f>
        <v>200</v>
      </c>
      <c r="H138" s="22">
        <v>200</v>
      </c>
      <c r="I138" s="22"/>
      <c r="J138" t="s">
        <v>53</v>
      </c>
      <c r="L138" s="2" t="b">
        <f ca="1">AND(الحركات[[#This Row],[مدفوع من شهر]]&lt;=VALUE(TEXT($A$2,"YYYYMM")),الحركات[[#This Row],[الحالة]]="")</f>
        <v>1</v>
      </c>
      <c r="M138" s="2" t="str">
        <f>الحركات[من صندوق]&amp;"/"&amp;الحركات[إلى صندوق]</f>
        <v>الراتب/دورات</v>
      </c>
      <c r="N138" s="2" t="str">
        <f>VLOOKUP(الحركات[من صندوق],Table1[],2,0)</f>
        <v>دخل</v>
      </c>
      <c r="O138" s="2" t="str">
        <f>VLOOKUP(الحركات[إلى صندوق],Table1[[الصندوق]:[نوعه]],2,0)</f>
        <v>صرف</v>
      </c>
    </row>
    <row r="139" spans="1:15" x14ac:dyDescent="0.3">
      <c r="A139">
        <v>201807</v>
      </c>
      <c r="B139" s="3"/>
      <c r="C139" t="s">
        <v>18</v>
      </c>
      <c r="D139" s="15">
        <f>VLOOKUP(الحركات[[#This Row],[من صندوق]],Table5[],5,0)</f>
        <v>225</v>
      </c>
      <c r="E139" t="s">
        <v>22</v>
      </c>
      <c r="F139" s="15">
        <f>VLOOKUP(الحركات[[#This Row],[إلى صندوق]],Table5[[الصندوق]:[الرصيد الفعلي]],5,0)</f>
        <v>200</v>
      </c>
      <c r="G139" s="15">
        <f>IF(VLOOKUP(الحركات[إلى صندوق],Table1[],3,0)=0,VLOOKUP(الحركات[[#This Row],[من صندوق]],Table1[[الصندوق]:[القيمة الشهرية]],3,0),VLOOKUP(الحركات[إلى صندوق],Table1[],3,0))</f>
        <v>200</v>
      </c>
      <c r="H139" s="22">
        <v>200</v>
      </c>
      <c r="I139" s="22"/>
      <c r="J139" t="s">
        <v>54</v>
      </c>
      <c r="L139" s="2" t="b">
        <f ca="1">AND(الحركات[[#This Row],[مدفوع من شهر]]&lt;=VALUE(TEXT($A$2,"YYYYMM")),الحركات[[#This Row],[الحالة]]="")</f>
        <v>1</v>
      </c>
      <c r="M139" s="2" t="str">
        <f>الحركات[من صندوق]&amp;"/"&amp;الحركات[إلى صندوق]</f>
        <v>الراتب/زكاة</v>
      </c>
      <c r="N139" s="2" t="str">
        <f>VLOOKUP(الحركات[من صندوق],Table1[],2,0)</f>
        <v>دخل</v>
      </c>
      <c r="O139" s="2" t="str">
        <f>VLOOKUP(الحركات[إلى صندوق],Table1[[الصندوق]:[نوعه]],2,0)</f>
        <v>صرف</v>
      </c>
    </row>
    <row r="140" spans="1:15" x14ac:dyDescent="0.3">
      <c r="A140">
        <v>201807</v>
      </c>
      <c r="B140" s="3"/>
      <c r="C140" t="s">
        <v>18</v>
      </c>
      <c r="D140" s="15">
        <f>VLOOKUP(الحركات[[#This Row],[من صندوق]],Table5[],5,0)</f>
        <v>225</v>
      </c>
      <c r="E140" t="s">
        <v>10</v>
      </c>
      <c r="F140" s="15">
        <f>VLOOKUP(الحركات[[#This Row],[إلى صندوق]],Table5[[الصندوق]:[الرصيد الفعلي]],5,0)</f>
        <v>250</v>
      </c>
      <c r="G140" s="15">
        <f>IF(VLOOKUP(الحركات[إلى صندوق],Table1[],3,0)=0,VLOOKUP(الحركات[[#This Row],[من صندوق]],Table1[[الصندوق]:[القيمة الشهرية]],3,0),VLOOKUP(الحركات[إلى صندوق],Table1[],3,0))</f>
        <v>250</v>
      </c>
      <c r="H140" s="22">
        <v>250</v>
      </c>
      <c r="I140" s="22"/>
      <c r="J140" t="s">
        <v>55</v>
      </c>
      <c r="L140" s="2" t="b">
        <f ca="1">AND(الحركات[[#This Row],[مدفوع من شهر]]&lt;=VALUE(TEXT($A$2,"YYYYMM")),الحركات[[#This Row],[الحالة]]="")</f>
        <v>1</v>
      </c>
      <c r="M140" s="2" t="str">
        <f>الحركات[من صندوق]&amp;"/"&amp;الحركات[إلى صندوق]</f>
        <v>الراتب/صيانة السيارة</v>
      </c>
      <c r="N140" s="2" t="str">
        <f>VLOOKUP(الحركات[من صندوق],Table1[],2,0)</f>
        <v>دخل</v>
      </c>
      <c r="O140" s="2" t="str">
        <f>VLOOKUP(الحركات[إلى صندوق],Table1[[الصندوق]:[نوعه]],2,0)</f>
        <v>صرف</v>
      </c>
    </row>
    <row r="141" spans="1:15" x14ac:dyDescent="0.3">
      <c r="A141">
        <v>201807</v>
      </c>
      <c r="B141" s="3"/>
      <c r="C141" t="s">
        <v>18</v>
      </c>
      <c r="D141" s="15">
        <f>VLOOKUP(الحركات[[#This Row],[من صندوق]],Table5[],5,0)</f>
        <v>225</v>
      </c>
      <c r="E141" t="s">
        <v>15</v>
      </c>
      <c r="F141" s="15">
        <f>VLOOKUP(الحركات[[#This Row],[إلى صندوق]],Table5[[الصندوق]:[الرصيد الفعلي]],5,0)</f>
        <v>0</v>
      </c>
      <c r="G141" s="15">
        <f>IF(VLOOKUP(الحركات[إلى صندوق],Table1[],3,0)=0,VLOOKUP(الحركات[[#This Row],[من صندوق]],Table1[[الصندوق]:[القيمة الشهرية]],3,0),VLOOKUP(الحركات[إلى صندوق],Table1[],3,0))</f>
        <v>285</v>
      </c>
      <c r="H141" s="22">
        <v>285</v>
      </c>
      <c r="I141" s="22"/>
      <c r="J141" t="s">
        <v>56</v>
      </c>
      <c r="L141" s="2" t="b">
        <f ca="1">AND(الحركات[[#This Row],[مدفوع من شهر]]&lt;=VALUE(TEXT($A$2,"YYYYMM")),الحركات[[#This Row],[الحالة]]="")</f>
        <v>1</v>
      </c>
      <c r="M141" s="2" t="str">
        <f>الحركات[من صندوق]&amp;"/"&amp;الحركات[إلى صندوق]</f>
        <v>الراتب/ملابس</v>
      </c>
      <c r="N141" s="2" t="str">
        <f>VLOOKUP(الحركات[من صندوق],Table1[],2,0)</f>
        <v>دخل</v>
      </c>
      <c r="O141" s="2" t="str">
        <f>VLOOKUP(الحركات[إلى صندوق],Table1[[الصندوق]:[نوعه]],2,0)</f>
        <v>صرف</v>
      </c>
    </row>
    <row r="142" spans="1:15" x14ac:dyDescent="0.3">
      <c r="A142">
        <v>201807</v>
      </c>
      <c r="B142" s="3"/>
      <c r="C142" t="s">
        <v>18</v>
      </c>
      <c r="D142" s="15">
        <f>VLOOKUP(الحركات[[#This Row],[من صندوق]],Table5[],5,0)</f>
        <v>225</v>
      </c>
      <c r="E142" t="s">
        <v>1</v>
      </c>
      <c r="F142" s="15">
        <f>VLOOKUP(الحركات[[#This Row],[إلى صندوق]],Table5[[الصندوق]:[الرصيد الفعلي]],5,0)</f>
        <v>0</v>
      </c>
      <c r="G142" s="15">
        <f>IF(VLOOKUP(الحركات[إلى صندوق],Table1[],3,0)=0,VLOOKUP(الحركات[[#This Row],[من صندوق]],Table1[[الصندوق]:[القيمة الشهرية]],3,0),VLOOKUP(الحركات[إلى صندوق],Table1[],3,0))</f>
        <v>190</v>
      </c>
      <c r="H142" s="22">
        <v>190</v>
      </c>
      <c r="I142" s="22"/>
      <c r="J142" t="s">
        <v>57</v>
      </c>
      <c r="L142" s="2" t="b">
        <f ca="1">AND(الحركات[[#This Row],[مدفوع من شهر]]&lt;=VALUE(TEXT($A$2,"YYYYMM")),الحركات[[#This Row],[الحالة]]="")</f>
        <v>1</v>
      </c>
      <c r="M142" s="2" t="str">
        <f>الحركات[من صندوق]&amp;"/"&amp;الحركات[إلى صندوق]</f>
        <v>الراتب/هدايا</v>
      </c>
      <c r="N142" s="2" t="str">
        <f>VLOOKUP(الحركات[من صندوق],Table1[],2,0)</f>
        <v>دخل</v>
      </c>
      <c r="O142" s="2" t="str">
        <f>VLOOKUP(الحركات[إلى صندوق],Table1[[الصندوق]:[نوعه]],2,0)</f>
        <v>صرف</v>
      </c>
    </row>
    <row r="143" spans="1:15" x14ac:dyDescent="0.3">
      <c r="A143">
        <v>201807</v>
      </c>
      <c r="B143" s="3"/>
      <c r="C143" t="s">
        <v>18</v>
      </c>
      <c r="D143" s="15">
        <f>VLOOKUP(الحركات[[#This Row],[من صندوق]],Table5[],5,0)</f>
        <v>225</v>
      </c>
      <c r="E143" t="s">
        <v>4</v>
      </c>
      <c r="F143" s="15">
        <f>VLOOKUP(الحركات[[#This Row],[إلى صندوق]],Table5[[الصندوق]:[الرصيد الفعلي]],5,0)</f>
        <v>200</v>
      </c>
      <c r="G143" s="15">
        <f>IF(VLOOKUP(الحركات[إلى صندوق],Table1[],3,0)=0,VLOOKUP(الحركات[[#This Row],[من صندوق]],Table1[[الصندوق]:[القيمة الشهرية]],3,0),VLOOKUP(الحركات[إلى صندوق],Table1[],3,0))</f>
        <v>200</v>
      </c>
      <c r="H143" s="22">
        <v>200</v>
      </c>
      <c r="I143" s="22"/>
      <c r="J143" t="s">
        <v>58</v>
      </c>
      <c r="L143" s="2" t="b">
        <f ca="1">AND(الحركات[[#This Row],[مدفوع من شهر]]&lt;=VALUE(TEXT($A$2,"YYYYMM")),الحركات[[#This Row],[الحالة]]="")</f>
        <v>1</v>
      </c>
      <c r="M143" s="2" t="str">
        <f>الحركات[من صندوق]&amp;"/"&amp;الحركات[إلى صندوق]</f>
        <v>الراتب/طوارئ</v>
      </c>
      <c r="N143" s="2" t="str">
        <f>VLOOKUP(الحركات[من صندوق],Table1[],2,0)</f>
        <v>دخل</v>
      </c>
      <c r="O143" s="2" t="str">
        <f>VLOOKUP(الحركات[إلى صندوق],Table1[[الصندوق]:[نوعه]],2,0)</f>
        <v>صرف</v>
      </c>
    </row>
    <row r="144" spans="1:15" x14ac:dyDescent="0.3">
      <c r="A144">
        <v>201807</v>
      </c>
      <c r="B144" s="3"/>
      <c r="C144" t="s">
        <v>11</v>
      </c>
      <c r="D144" s="16">
        <f>VLOOKUP(الحركات[[#This Row],[من صندوق]],Table5[],5,0)</f>
        <v>0</v>
      </c>
      <c r="E144" t="s">
        <v>14</v>
      </c>
      <c r="F144" s="16">
        <f>VLOOKUP(الحركات[[#This Row],[إلى صندوق]],Table5[[الصندوق]:[الرصيد الفعلي]],5,0)</f>
        <v>5025</v>
      </c>
      <c r="G144" s="16">
        <f>IF(VLOOKUP(الحركات[إلى صندوق],Table1[],3,0)=0,VLOOKUP(الحركات[[#This Row],[من صندوق]],Table1[[الصندوق]:[القيمة الشهرية]],3,0),VLOOKUP(الحركات[إلى صندوق],Table1[],3,0))</f>
        <v>250</v>
      </c>
      <c r="H144" s="22">
        <v>250</v>
      </c>
      <c r="I144" s="22"/>
      <c r="J144" t="s">
        <v>59</v>
      </c>
      <c r="L144" s="7" t="b">
        <f ca="1">AND(الحركات[[#This Row],[مدفوع من شهر]]&lt;=VALUE(TEXT($A$2,"YYYYMM")),الحركات[[#This Row],[الحالة]]="")</f>
        <v>1</v>
      </c>
      <c r="M144" s="7" t="str">
        <f>الحركات[من صندوق]&amp;"/"&amp;الحركات[إلى صندوق]</f>
        <v>فواتير/صرف</v>
      </c>
      <c r="N144" s="7" t="str">
        <f>VLOOKUP(الحركات[من صندوق],Table1[],2,0)</f>
        <v>صرف</v>
      </c>
      <c r="O144" s="7" t="str">
        <f>VLOOKUP(الحركات[إلى صندوق],Table1[[الصندوق]:[نوعه]],2,0)</f>
        <v>خارجي</v>
      </c>
    </row>
    <row r="145" spans="1:15" x14ac:dyDescent="0.3">
      <c r="A145">
        <v>201807</v>
      </c>
      <c r="B145" s="3"/>
      <c r="C145" t="s">
        <v>13</v>
      </c>
      <c r="D145" s="16">
        <f>VLOOKUP(الحركات[[#This Row],[من صندوق]],Table5[],5,0)</f>
        <v>0</v>
      </c>
      <c r="E145" t="s">
        <v>14</v>
      </c>
      <c r="F145" s="16">
        <f>VLOOKUP(الحركات[[#This Row],[إلى صندوق]],Table5[[الصندوق]:[الرصيد الفعلي]],5,0)</f>
        <v>5025</v>
      </c>
      <c r="G145" s="16">
        <f>IF(VLOOKUP(الحركات[إلى صندوق],Table1[],3,0)=0,VLOOKUP(الحركات[[#This Row],[من صندوق]],Table1[[الصندوق]:[القيمة الشهرية]],3,0),VLOOKUP(الحركات[إلى صندوق],Table1[],3,0))</f>
        <v>3800</v>
      </c>
      <c r="H145" s="22">
        <v>3800</v>
      </c>
      <c r="I145" s="22"/>
      <c r="J145" t="s">
        <v>60</v>
      </c>
      <c r="L145" s="7" t="b">
        <f ca="1">AND(الحركات[[#This Row],[مدفوع من شهر]]&lt;=VALUE(TEXT($A$2,"YYYYMM")),الحركات[[#This Row],[الحالة]]="")</f>
        <v>1</v>
      </c>
      <c r="M145" s="7" t="str">
        <f>الحركات[من صندوق]&amp;"/"&amp;الحركات[إلى صندوق]</f>
        <v>مصاريف شهرية/صرف</v>
      </c>
      <c r="N145" s="7" t="str">
        <f>VLOOKUP(الحركات[من صندوق],Table1[],2,0)</f>
        <v>صرف</v>
      </c>
      <c r="O145" s="7" t="str">
        <f>VLOOKUP(الحركات[إلى صندوق],Table1[[الصندوق]:[نوعه]],2,0)</f>
        <v>خارجي</v>
      </c>
    </row>
    <row r="146" spans="1:15" x14ac:dyDescent="0.3">
      <c r="A146">
        <v>201807</v>
      </c>
      <c r="B146" s="3"/>
      <c r="C146" t="s">
        <v>0</v>
      </c>
      <c r="D146" s="16">
        <f>VLOOKUP(الحركات[[#This Row],[من صندوق]],Table5[],5,0)</f>
        <v>0</v>
      </c>
      <c r="E146" t="s">
        <v>14</v>
      </c>
      <c r="F146" s="16">
        <f>VLOOKUP(الحركات[[#This Row],[إلى صندوق]],Table5[[الصندوق]:[الرصيد الفعلي]],5,0)</f>
        <v>5025</v>
      </c>
      <c r="G146" s="16">
        <f>IF(VLOOKUP(الحركات[إلى صندوق],Table1[],3,0)=0,VLOOKUP(الحركات[[#This Row],[من صندوق]],Table1[[الصندوق]:[القيمة الشهرية]],3,0),VLOOKUP(الحركات[إلى صندوق],Table1[],3,0))</f>
        <v>500</v>
      </c>
      <c r="H146" s="22">
        <v>500</v>
      </c>
      <c r="I146" s="22"/>
      <c r="J146" t="s">
        <v>66</v>
      </c>
      <c r="L146" s="7" t="b">
        <f ca="1">AND(الحركات[[#This Row],[مدفوع من شهر]]&lt;=VALUE(TEXT($A$2,"YYYYMM")),الحركات[[#This Row],[الحالة]]="")</f>
        <v>1</v>
      </c>
      <c r="M146" s="7" t="str">
        <f>الحركات[من صندوق]&amp;"/"&amp;الحركات[إلى صندوق]</f>
        <v>توفير/صرف</v>
      </c>
      <c r="N146" s="7" t="str">
        <f>VLOOKUP(الحركات[من صندوق],Table1[],2,0)</f>
        <v>صرف</v>
      </c>
      <c r="O146" s="7" t="str">
        <f>VLOOKUP(الحركات[إلى صندوق],Table1[[الصندوق]:[نوعه]],2,0)</f>
        <v>خارجي</v>
      </c>
    </row>
    <row r="147" spans="1:15" x14ac:dyDescent="0.3">
      <c r="A147">
        <v>201807</v>
      </c>
      <c r="B147" s="3"/>
      <c r="C147" t="s">
        <v>12</v>
      </c>
      <c r="D147" s="17">
        <f>VLOOKUP(الحركات[[#This Row],[من صندوق]],Table5[],5,0)</f>
        <v>400</v>
      </c>
      <c r="E147" t="s">
        <v>14</v>
      </c>
      <c r="F147" s="17">
        <f>VLOOKUP(الحركات[[#This Row],[إلى صندوق]],Table5[[الصندوق]:[الرصيد الفعلي]],5,0)</f>
        <v>5025</v>
      </c>
      <c r="G147" s="17">
        <f>IF(VLOOKUP(الحركات[إلى صندوق],Table1[],3,0)=0,VLOOKUP(الحركات[[#This Row],[من صندوق]],Table1[[الصندوق]:[القيمة الشهرية]],3,0),VLOOKUP(الحركات[إلى صندوق],Table1[],3,0))</f>
        <v>400</v>
      </c>
      <c r="H147" s="22">
        <v>4800</v>
      </c>
      <c r="I147" s="22"/>
      <c r="J147" t="s">
        <v>67</v>
      </c>
      <c r="L147" s="8" t="b">
        <f ca="1">AND(الحركات[[#This Row],[مدفوع من شهر]]&lt;=VALUE(TEXT($A$2,"YYYYMM")),الحركات[[#This Row],[الحالة]]="")</f>
        <v>1</v>
      </c>
      <c r="M147" s="8" t="str">
        <f>الحركات[من صندوق]&amp;"/"&amp;الحركات[إلى صندوق]</f>
        <v>اجازات/صرف</v>
      </c>
      <c r="N147" s="8" t="str">
        <f>VLOOKUP(الحركات[من صندوق],Table1[],2,0)</f>
        <v>صرف</v>
      </c>
      <c r="O147" s="8" t="str">
        <f>VLOOKUP(الحركات[إلى صندوق],Table1[[الصندوق]:[نوعه]],2,0)</f>
        <v>خارجي</v>
      </c>
    </row>
    <row r="148" spans="1:15" x14ac:dyDescent="0.3">
      <c r="A148">
        <v>201807</v>
      </c>
      <c r="B148" s="3"/>
      <c r="C148" t="s">
        <v>15</v>
      </c>
      <c r="D148" s="17">
        <f>VLOOKUP(الحركات[[#This Row],[من صندوق]],Table5[],5,0)</f>
        <v>0</v>
      </c>
      <c r="E148" t="s">
        <v>14</v>
      </c>
      <c r="F148" s="17">
        <f>VLOOKUP(الحركات[[#This Row],[إلى صندوق]],Table5[[الصندوق]:[الرصيد الفعلي]],5,0)</f>
        <v>5025</v>
      </c>
      <c r="G148" s="17">
        <f>IF(VLOOKUP(الحركات[إلى صندوق],Table1[],3,0)=0,VLOOKUP(الحركات[[#This Row],[من صندوق]],Table1[[الصندوق]:[القيمة الشهرية]],3,0),VLOOKUP(الحركات[إلى صندوق],Table1[],3,0))</f>
        <v>285</v>
      </c>
      <c r="H148" s="22">
        <v>285</v>
      </c>
      <c r="I148" s="22"/>
      <c r="J148" t="s">
        <v>71</v>
      </c>
      <c r="L148" s="8" t="b">
        <f ca="1">AND(الحركات[[#This Row],[مدفوع من شهر]]&lt;=VALUE(TEXT($A$2,"YYYYMM")),الحركات[[#This Row],[الحالة]]="")</f>
        <v>1</v>
      </c>
      <c r="M148" s="8" t="str">
        <f>الحركات[من صندوق]&amp;"/"&amp;الحركات[إلى صندوق]</f>
        <v>ملابس/صرف</v>
      </c>
      <c r="N148" s="8" t="str">
        <f>VLOOKUP(الحركات[من صندوق],Table1[],2,0)</f>
        <v>صرف</v>
      </c>
      <c r="O148" s="8" t="str">
        <f>VLOOKUP(الحركات[إلى صندوق],Table1[[الصندوق]:[نوعه]],2,0)</f>
        <v>خارجي</v>
      </c>
    </row>
    <row r="149" spans="1:15" x14ac:dyDescent="0.3">
      <c r="A149">
        <v>201807</v>
      </c>
      <c r="B149" s="3"/>
      <c r="C149" t="s">
        <v>1</v>
      </c>
      <c r="D149" s="17">
        <f>VLOOKUP(الحركات[[#This Row],[من صندوق]],Table5[],5,0)</f>
        <v>0</v>
      </c>
      <c r="E149" t="s">
        <v>14</v>
      </c>
      <c r="F149" s="17">
        <f>VLOOKUP(الحركات[[#This Row],[إلى صندوق]],Table5[[الصندوق]:[الرصيد الفعلي]],5,0)</f>
        <v>5025</v>
      </c>
      <c r="G149" s="17">
        <f>IF(VLOOKUP(الحركات[إلى صندوق],Table1[],3,0)=0,VLOOKUP(الحركات[[#This Row],[من صندوق]],Table1[[الصندوق]:[القيمة الشهرية]],3,0),VLOOKUP(الحركات[إلى صندوق],Table1[],3,0))</f>
        <v>190</v>
      </c>
      <c r="H149" s="22">
        <v>190</v>
      </c>
      <c r="I149" s="22"/>
      <c r="J149" t="s">
        <v>72</v>
      </c>
      <c r="L149" s="8" t="b">
        <f ca="1">AND(الحركات[[#This Row],[مدفوع من شهر]]&lt;=VALUE(TEXT($A$2,"YYYYMM")),الحركات[[#This Row],[الحالة]]="")</f>
        <v>1</v>
      </c>
      <c r="M149" s="8" t="str">
        <f>الحركات[من صندوق]&amp;"/"&amp;الحركات[إلى صندوق]</f>
        <v>هدايا/صرف</v>
      </c>
      <c r="N149" s="8" t="str">
        <f>VLOOKUP(الحركات[من صندوق],Table1[],2,0)</f>
        <v>صرف</v>
      </c>
      <c r="O149" s="8" t="str">
        <f>VLOOKUP(الحركات[إلى صندوق],Table1[[الصندوق]:[نوعه]],2,0)</f>
        <v>خارجي</v>
      </c>
    </row>
    <row r="150" spans="1:15" x14ac:dyDescent="0.3">
      <c r="A150">
        <v>201807</v>
      </c>
      <c r="B150" s="3"/>
      <c r="C150" t="s">
        <v>22</v>
      </c>
      <c r="D150" s="19">
        <f>VLOOKUP(الحركات[[#This Row],[من صندوق]],Table5[],5,0)</f>
        <v>200</v>
      </c>
      <c r="E150" t="s">
        <v>12</v>
      </c>
      <c r="F150" s="19">
        <f>VLOOKUP(الحركات[[#This Row],[إلى صندوق]],Table5[[الصندوق]:[الرصيد الفعلي]],5,0)</f>
        <v>400</v>
      </c>
      <c r="G150" s="19">
        <f>IF(VLOOKUP(الحركات[إلى صندوق],Table1[],3,0)=0,VLOOKUP(الحركات[[#This Row],[من صندوق]],Table1[[الصندوق]:[القيمة الشهرية]],3,0),VLOOKUP(الحركات[إلى صندوق],Table1[],3,0))</f>
        <v>400</v>
      </c>
      <c r="H150" s="22">
        <v>1400</v>
      </c>
      <c r="I150" s="22"/>
      <c r="J150" t="s">
        <v>91</v>
      </c>
      <c r="L150" s="12" t="b">
        <f ca="1">AND(الحركات[[#This Row],[مدفوع من شهر]]&lt;=VALUE(TEXT($A$2,"YYYYMM")),الحركات[[#This Row],[الحالة]]="")</f>
        <v>1</v>
      </c>
      <c r="M150" s="12" t="str">
        <f>الحركات[من صندوق]&amp;"/"&amp;الحركات[إلى صندوق]</f>
        <v>زكاة/اجازات</v>
      </c>
      <c r="N150" s="12" t="str">
        <f>VLOOKUP(الحركات[من صندوق],Table1[],2,0)</f>
        <v>صرف</v>
      </c>
      <c r="O150" s="12" t="str">
        <f>VLOOKUP(الحركات[إلى صندوق],Table1[[الصندوق]:[نوعه]],2,0)</f>
        <v>صرف</v>
      </c>
    </row>
    <row r="151" spans="1:15" x14ac:dyDescent="0.3">
      <c r="A151">
        <v>201807</v>
      </c>
      <c r="B151" s="3"/>
      <c r="C151" t="s">
        <v>21</v>
      </c>
      <c r="D151" s="19">
        <f>VLOOKUP(الحركات[[#This Row],[من صندوق]],Table5[],5,0)</f>
        <v>1500</v>
      </c>
      <c r="E151" t="s">
        <v>12</v>
      </c>
      <c r="F151" s="19">
        <f>VLOOKUP(الحركات[[#This Row],[إلى صندوق]],Table5[[الصندوق]:[الرصيد الفعلي]],5,0)</f>
        <v>400</v>
      </c>
      <c r="G151" s="19">
        <f>IF(VLOOKUP(الحركات[إلى صندوق],Table1[],3,0)=0,VLOOKUP(الحركات[[#This Row],[من صندوق]],Table1[[الصندوق]:[القيمة الشهرية]],3,0),VLOOKUP(الحركات[إلى صندوق],Table1[],3,0))</f>
        <v>400</v>
      </c>
      <c r="H151" s="22">
        <v>600</v>
      </c>
      <c r="I151" s="22"/>
      <c r="J151" t="s">
        <v>91</v>
      </c>
      <c r="L151" s="12" t="b">
        <f ca="1">AND(الحركات[[#This Row],[مدفوع من شهر]]&lt;=VALUE(TEXT($A$2,"YYYYMM")),الحركات[[#This Row],[الحالة]]="")</f>
        <v>1</v>
      </c>
      <c r="M151" s="12" t="str">
        <f>الحركات[من صندوق]&amp;"/"&amp;الحركات[إلى صندوق]</f>
        <v>ايجار المنزل/اجازات</v>
      </c>
      <c r="N151" s="12" t="str">
        <f>VLOOKUP(الحركات[من صندوق],Table1[],2,0)</f>
        <v>صرف</v>
      </c>
      <c r="O151" s="12" t="str">
        <f>VLOOKUP(الحركات[إلى صندوق],Table1[[الصندوق]:[نوعه]],2,0)</f>
        <v>صرف</v>
      </c>
    </row>
    <row r="152" spans="1:15" x14ac:dyDescent="0.3">
      <c r="A152">
        <v>201808</v>
      </c>
      <c r="B152" s="3"/>
      <c r="C152" t="s">
        <v>20</v>
      </c>
      <c r="D152" s="15">
        <f>VLOOKUP(الحركات[[#This Row],[من صندوق]],Table5[],5,0)</f>
        <v>-10000</v>
      </c>
      <c r="E152" t="s">
        <v>18</v>
      </c>
      <c r="F152" s="15">
        <f>VLOOKUP(الحركات[[#This Row],[إلى صندوق]],Table5[[الصندوق]:[الرصيد الفعلي]],5,0)</f>
        <v>225</v>
      </c>
      <c r="G152" s="15">
        <f>IF(VLOOKUP(الحركات[إلى صندوق],Table1[],3,0)=0,VLOOKUP(الحركات[[#This Row],[من صندوق]],Table1[[الصندوق]:[القيمة الشهرية]],3,0),VLOOKUP(الحركات[إلى صندوق],Table1[],3,0))</f>
        <v>10000</v>
      </c>
      <c r="H152" s="22">
        <v>10000</v>
      </c>
      <c r="I152" s="22"/>
      <c r="J152" t="s">
        <v>40</v>
      </c>
      <c r="L152" s="2" t="b">
        <f ca="1">AND(الحركات[[#This Row],[مدفوع من شهر]]&lt;=VALUE(TEXT($A$2,"YYYYMM")),الحركات[[#This Row],[الحالة]]="")</f>
        <v>0</v>
      </c>
      <c r="M152" s="2" t="str">
        <f>الحركات[من صندوق]&amp;"/"&amp;الحركات[إلى صندوق]</f>
        <v>الشركة/الراتب</v>
      </c>
      <c r="N152" s="2" t="str">
        <f>VLOOKUP(الحركات[من صندوق],Table1[],2,0)</f>
        <v>خارجي</v>
      </c>
      <c r="O152" s="2" t="str">
        <f>VLOOKUP(الحركات[إلى صندوق],Table1[[الصندوق]:[نوعه]],2,0)</f>
        <v>دخل</v>
      </c>
    </row>
    <row r="153" spans="1:15" x14ac:dyDescent="0.3">
      <c r="A153">
        <v>201808</v>
      </c>
      <c r="B153" s="3"/>
      <c r="C153" t="s">
        <v>18</v>
      </c>
      <c r="D153" s="15">
        <f>VLOOKUP(الحركات[[#This Row],[من صندوق]],Table5[],5,0)</f>
        <v>225</v>
      </c>
      <c r="E153" t="s">
        <v>11</v>
      </c>
      <c r="F153" s="15">
        <f>VLOOKUP(الحركات[[#This Row],[إلى صندوق]],Table5[[الصندوق]:[الرصيد الفعلي]],5,0)</f>
        <v>0</v>
      </c>
      <c r="G153" s="15">
        <f>IF(VLOOKUP(الحركات[إلى صندوق],Table1[],3,0)=0,VLOOKUP(الحركات[[#This Row],[من صندوق]],Table1[[الصندوق]:[القيمة الشهرية]],3,0),VLOOKUP(الحركات[إلى صندوق],Table1[],3,0))</f>
        <v>250</v>
      </c>
      <c r="H153" s="22">
        <v>250</v>
      </c>
      <c r="I153" s="22"/>
      <c r="J153" t="s">
        <v>47</v>
      </c>
      <c r="L153" s="2" t="b">
        <f ca="1">AND(الحركات[[#This Row],[مدفوع من شهر]]&lt;=VALUE(TEXT($A$2,"YYYYMM")),الحركات[[#This Row],[الحالة]]="")</f>
        <v>0</v>
      </c>
      <c r="M153" s="2" t="str">
        <f>الحركات[من صندوق]&amp;"/"&amp;الحركات[إلى صندوق]</f>
        <v>الراتب/فواتير</v>
      </c>
      <c r="N153" s="2" t="str">
        <f>VLOOKUP(الحركات[من صندوق],Table1[],2,0)</f>
        <v>دخل</v>
      </c>
      <c r="O153" s="2" t="str">
        <f>VLOOKUP(الحركات[إلى صندوق],Table1[[الصندوق]:[نوعه]],2,0)</f>
        <v>صرف</v>
      </c>
    </row>
    <row r="154" spans="1:15" x14ac:dyDescent="0.3">
      <c r="A154">
        <v>201808</v>
      </c>
      <c r="B154" s="3"/>
      <c r="C154" t="s">
        <v>18</v>
      </c>
      <c r="D154" s="15">
        <f>VLOOKUP(الحركات[[#This Row],[من صندوق]],Table5[],5,0)</f>
        <v>225</v>
      </c>
      <c r="E154" t="s">
        <v>13</v>
      </c>
      <c r="F154" s="15">
        <f>VLOOKUP(الحركات[[#This Row],[إلى صندوق]],Table5[[الصندوق]:[الرصيد الفعلي]],5,0)</f>
        <v>0</v>
      </c>
      <c r="G154" s="15">
        <f>IF(VLOOKUP(الحركات[إلى صندوق],Table1[],3,0)=0,VLOOKUP(الحركات[[#This Row],[من صندوق]],Table1[[الصندوق]:[القيمة الشهرية]],3,0),VLOOKUP(الحركات[إلى صندوق],Table1[],3,0))</f>
        <v>3800</v>
      </c>
      <c r="H154" s="22">
        <v>3800</v>
      </c>
      <c r="I154" s="22"/>
      <c r="J154" t="s">
        <v>48</v>
      </c>
      <c r="L154" s="2" t="b">
        <f ca="1">AND(الحركات[[#This Row],[مدفوع من شهر]]&lt;=VALUE(TEXT($A$2,"YYYYMM")),الحركات[[#This Row],[الحالة]]="")</f>
        <v>0</v>
      </c>
      <c r="M154" s="2" t="str">
        <f>الحركات[من صندوق]&amp;"/"&amp;الحركات[إلى صندوق]</f>
        <v>الراتب/مصاريف شهرية</v>
      </c>
      <c r="N154" s="2" t="str">
        <f>VLOOKUP(الحركات[من صندوق],Table1[],2,0)</f>
        <v>دخل</v>
      </c>
      <c r="O154" s="2" t="str">
        <f>VLOOKUP(الحركات[إلى صندوق],Table1[[الصندوق]:[نوعه]],2,0)</f>
        <v>صرف</v>
      </c>
    </row>
    <row r="155" spans="1:15" x14ac:dyDescent="0.3">
      <c r="A155">
        <v>201808</v>
      </c>
      <c r="B155" s="3"/>
      <c r="C155" t="s">
        <v>18</v>
      </c>
      <c r="D155" s="15">
        <f>VLOOKUP(الحركات[[#This Row],[من صندوق]],Table5[],5,0)</f>
        <v>225</v>
      </c>
      <c r="E155" t="s">
        <v>3</v>
      </c>
      <c r="F155" s="15">
        <f>VLOOKUP(الحركات[[#This Row],[إلى صندوق]],Table5[[الصندوق]:[الرصيد الفعلي]],5,0)</f>
        <v>2000</v>
      </c>
      <c r="G155" s="15">
        <f>IF(VLOOKUP(الحركات[إلى صندوق],Table1[],3,0)=0,VLOOKUP(الحركات[[#This Row],[من صندوق]],Table1[[الصندوق]:[القيمة الشهرية]],3,0),VLOOKUP(الحركات[إلى صندوق],Table1[],3,0))</f>
        <v>2000</v>
      </c>
      <c r="H155" s="22">
        <v>2000</v>
      </c>
      <c r="I155" s="22"/>
      <c r="J155" t="s">
        <v>49</v>
      </c>
      <c r="L155" s="2" t="b">
        <f ca="1">AND(الحركات[[#This Row],[مدفوع من شهر]]&lt;=VALUE(TEXT($A$2,"YYYYMM")),الحركات[[#This Row],[الحالة]]="")</f>
        <v>0</v>
      </c>
      <c r="M155" s="2" t="str">
        <f>الحركات[من صندوق]&amp;"/"&amp;الحركات[إلى صندوق]</f>
        <v>الراتب/مدارس</v>
      </c>
      <c r="N155" s="2" t="str">
        <f>VLOOKUP(الحركات[من صندوق],Table1[],2,0)</f>
        <v>دخل</v>
      </c>
      <c r="O155" s="2" t="str">
        <f>VLOOKUP(الحركات[إلى صندوق],Table1[[الصندوق]:[نوعه]],2,0)</f>
        <v>صرف</v>
      </c>
    </row>
    <row r="156" spans="1:15" x14ac:dyDescent="0.3">
      <c r="A156">
        <v>201808</v>
      </c>
      <c r="B156" s="3"/>
      <c r="C156" t="s">
        <v>18</v>
      </c>
      <c r="D156" s="15">
        <f>VLOOKUP(الحركات[[#This Row],[من صندوق]],Table5[],5,0)</f>
        <v>225</v>
      </c>
      <c r="E156" t="s">
        <v>21</v>
      </c>
      <c r="F156" s="15">
        <f>VLOOKUP(الحركات[[#This Row],[إلى صندوق]],Table5[[الصندوق]:[الرصيد الفعلي]],5,0)</f>
        <v>1500</v>
      </c>
      <c r="G156" s="15">
        <f>IF(VLOOKUP(الحركات[إلى صندوق],Table1[],3,0)=0,VLOOKUP(الحركات[[#This Row],[من صندوق]],Table1[[الصندوق]:[القيمة الشهرية]],3,0),VLOOKUP(الحركات[إلى صندوق],Table1[],3,0))</f>
        <v>1500</v>
      </c>
      <c r="H156" s="22">
        <v>1500</v>
      </c>
      <c r="I156" s="22"/>
      <c r="J156" t="s">
        <v>50</v>
      </c>
      <c r="L156" s="2" t="b">
        <f ca="1">AND(الحركات[[#This Row],[مدفوع من شهر]]&lt;=VALUE(TEXT($A$2,"YYYYMM")),الحركات[[#This Row],[الحالة]]="")</f>
        <v>0</v>
      </c>
      <c r="M156" s="2" t="str">
        <f>الحركات[من صندوق]&amp;"/"&amp;الحركات[إلى صندوق]</f>
        <v>الراتب/ايجار المنزل</v>
      </c>
      <c r="N156" s="2" t="str">
        <f>VLOOKUP(الحركات[من صندوق],Table1[],2,0)</f>
        <v>دخل</v>
      </c>
      <c r="O156" s="2" t="str">
        <f>VLOOKUP(الحركات[إلى صندوق],Table1[[الصندوق]:[نوعه]],2,0)</f>
        <v>صرف</v>
      </c>
    </row>
    <row r="157" spans="1:15" x14ac:dyDescent="0.3">
      <c r="A157">
        <v>201808</v>
      </c>
      <c r="B157" s="3"/>
      <c r="C157" t="s">
        <v>18</v>
      </c>
      <c r="D157" s="15">
        <f>VLOOKUP(الحركات[[#This Row],[من صندوق]],Table5[],5,0)</f>
        <v>225</v>
      </c>
      <c r="E157" t="s">
        <v>0</v>
      </c>
      <c r="F157" s="15">
        <f>VLOOKUP(الحركات[[#This Row],[إلى صندوق]],Table5[[الصندوق]:[الرصيد الفعلي]],5,0)</f>
        <v>0</v>
      </c>
      <c r="G157" s="15">
        <f>IF(VLOOKUP(الحركات[إلى صندوق],Table1[],3,0)=0,VLOOKUP(الحركات[[#This Row],[من صندوق]],Table1[[الصندوق]:[القيمة الشهرية]],3,0),VLOOKUP(الحركات[إلى صندوق],Table1[],3,0))</f>
        <v>500</v>
      </c>
      <c r="H157" s="22">
        <v>500</v>
      </c>
      <c r="I157" s="22"/>
      <c r="J157" t="s">
        <v>51</v>
      </c>
      <c r="L157" s="2" t="b">
        <f ca="1">AND(الحركات[[#This Row],[مدفوع من شهر]]&lt;=VALUE(TEXT($A$2,"YYYYMM")),الحركات[[#This Row],[الحالة]]="")</f>
        <v>0</v>
      </c>
      <c r="M157" s="2" t="str">
        <f>الحركات[من صندوق]&amp;"/"&amp;الحركات[إلى صندوق]</f>
        <v>الراتب/توفير</v>
      </c>
      <c r="N157" s="2" t="str">
        <f>VLOOKUP(الحركات[من صندوق],Table1[],2,0)</f>
        <v>دخل</v>
      </c>
      <c r="O157" s="2" t="str">
        <f>VLOOKUP(الحركات[إلى صندوق],Table1[[الصندوق]:[نوعه]],2,0)</f>
        <v>صرف</v>
      </c>
    </row>
    <row r="158" spans="1:15" x14ac:dyDescent="0.3">
      <c r="A158">
        <v>201808</v>
      </c>
      <c r="B158" s="3"/>
      <c r="C158" t="s">
        <v>18</v>
      </c>
      <c r="D158" s="15">
        <f>VLOOKUP(الحركات[[#This Row],[من صندوق]],Table5[],5,0)</f>
        <v>225</v>
      </c>
      <c r="E158" t="s">
        <v>12</v>
      </c>
      <c r="F158" s="15">
        <f>VLOOKUP(الحركات[[#This Row],[إلى صندوق]],Table5[[الصندوق]:[الرصيد الفعلي]],5,0)</f>
        <v>400</v>
      </c>
      <c r="G158" s="15">
        <f>IF(VLOOKUP(الحركات[إلى صندوق],Table1[],3,0)=0,VLOOKUP(الحركات[[#This Row],[من صندوق]],Table1[[الصندوق]:[القيمة الشهرية]],3,0),VLOOKUP(الحركات[إلى صندوق],Table1[],3,0))</f>
        <v>400</v>
      </c>
      <c r="H158" s="22">
        <v>400</v>
      </c>
      <c r="I158" s="22"/>
      <c r="J158" t="s">
        <v>52</v>
      </c>
      <c r="L158" s="2" t="b">
        <f ca="1">AND(الحركات[[#This Row],[مدفوع من شهر]]&lt;=VALUE(TEXT($A$2,"YYYYMM")),الحركات[[#This Row],[الحالة]]="")</f>
        <v>0</v>
      </c>
      <c r="M158" s="2" t="str">
        <f>الحركات[من صندوق]&amp;"/"&amp;الحركات[إلى صندوق]</f>
        <v>الراتب/اجازات</v>
      </c>
      <c r="N158" s="2" t="str">
        <f>VLOOKUP(الحركات[من صندوق],Table1[],2,0)</f>
        <v>دخل</v>
      </c>
      <c r="O158" s="2" t="str">
        <f>VLOOKUP(الحركات[إلى صندوق],Table1[[الصندوق]:[نوعه]],2,0)</f>
        <v>صرف</v>
      </c>
    </row>
    <row r="159" spans="1:15" x14ac:dyDescent="0.3">
      <c r="A159">
        <v>201808</v>
      </c>
      <c r="B159" s="3"/>
      <c r="C159" t="s">
        <v>18</v>
      </c>
      <c r="D159" s="15">
        <f>VLOOKUP(الحركات[[#This Row],[من صندوق]],Table5[],5,0)</f>
        <v>225</v>
      </c>
      <c r="E159" t="s">
        <v>9</v>
      </c>
      <c r="F159" s="15">
        <f>VLOOKUP(الحركات[[#This Row],[إلى صندوق]],Table5[[الصندوق]:[الرصيد الفعلي]],5,0)</f>
        <v>200</v>
      </c>
      <c r="G159" s="15">
        <f>IF(VLOOKUP(الحركات[إلى صندوق],Table1[],3,0)=0,VLOOKUP(الحركات[[#This Row],[من صندوق]],Table1[[الصندوق]:[القيمة الشهرية]],3,0),VLOOKUP(الحركات[إلى صندوق],Table1[],3,0))</f>
        <v>200</v>
      </c>
      <c r="H159" s="22">
        <v>200</v>
      </c>
      <c r="I159" s="22"/>
      <c r="J159" t="s">
        <v>53</v>
      </c>
      <c r="L159" s="2" t="b">
        <f ca="1">AND(الحركات[[#This Row],[مدفوع من شهر]]&lt;=VALUE(TEXT($A$2,"YYYYMM")),الحركات[[#This Row],[الحالة]]="")</f>
        <v>0</v>
      </c>
      <c r="M159" s="2" t="str">
        <f>الحركات[من صندوق]&amp;"/"&amp;الحركات[إلى صندوق]</f>
        <v>الراتب/دورات</v>
      </c>
      <c r="N159" s="2" t="str">
        <f>VLOOKUP(الحركات[من صندوق],Table1[],2,0)</f>
        <v>دخل</v>
      </c>
      <c r="O159" s="2" t="str">
        <f>VLOOKUP(الحركات[إلى صندوق],Table1[[الصندوق]:[نوعه]],2,0)</f>
        <v>صرف</v>
      </c>
    </row>
    <row r="160" spans="1:15" x14ac:dyDescent="0.3">
      <c r="A160">
        <v>201808</v>
      </c>
      <c r="B160" s="3"/>
      <c r="C160" t="s">
        <v>18</v>
      </c>
      <c r="D160" s="15">
        <f>VLOOKUP(الحركات[[#This Row],[من صندوق]],Table5[],5,0)</f>
        <v>225</v>
      </c>
      <c r="E160" t="s">
        <v>22</v>
      </c>
      <c r="F160" s="15">
        <f>VLOOKUP(الحركات[[#This Row],[إلى صندوق]],Table5[[الصندوق]:[الرصيد الفعلي]],5,0)</f>
        <v>200</v>
      </c>
      <c r="G160" s="15">
        <f>IF(VLOOKUP(الحركات[إلى صندوق],Table1[],3,0)=0,VLOOKUP(الحركات[[#This Row],[من صندوق]],Table1[[الصندوق]:[القيمة الشهرية]],3,0),VLOOKUP(الحركات[إلى صندوق],Table1[],3,0))</f>
        <v>200</v>
      </c>
      <c r="H160" s="22">
        <v>200</v>
      </c>
      <c r="I160" s="22"/>
      <c r="J160" t="s">
        <v>54</v>
      </c>
      <c r="L160" s="2" t="b">
        <f ca="1">AND(الحركات[[#This Row],[مدفوع من شهر]]&lt;=VALUE(TEXT($A$2,"YYYYMM")),الحركات[[#This Row],[الحالة]]="")</f>
        <v>0</v>
      </c>
      <c r="M160" s="2" t="str">
        <f>الحركات[من صندوق]&amp;"/"&amp;الحركات[إلى صندوق]</f>
        <v>الراتب/زكاة</v>
      </c>
      <c r="N160" s="2" t="str">
        <f>VLOOKUP(الحركات[من صندوق],Table1[],2,0)</f>
        <v>دخل</v>
      </c>
      <c r="O160" s="2" t="str">
        <f>VLOOKUP(الحركات[إلى صندوق],Table1[[الصندوق]:[نوعه]],2,0)</f>
        <v>صرف</v>
      </c>
    </row>
    <row r="161" spans="1:15" x14ac:dyDescent="0.3">
      <c r="A161">
        <v>201808</v>
      </c>
      <c r="B161" s="3"/>
      <c r="C161" t="s">
        <v>18</v>
      </c>
      <c r="D161" s="15">
        <f>VLOOKUP(الحركات[[#This Row],[من صندوق]],Table5[],5,0)</f>
        <v>225</v>
      </c>
      <c r="E161" t="s">
        <v>10</v>
      </c>
      <c r="F161" s="15">
        <f>VLOOKUP(الحركات[[#This Row],[إلى صندوق]],Table5[[الصندوق]:[الرصيد الفعلي]],5,0)</f>
        <v>250</v>
      </c>
      <c r="G161" s="15">
        <f>IF(VLOOKUP(الحركات[إلى صندوق],Table1[],3,0)=0,VLOOKUP(الحركات[[#This Row],[من صندوق]],Table1[[الصندوق]:[القيمة الشهرية]],3,0),VLOOKUP(الحركات[إلى صندوق],Table1[],3,0))</f>
        <v>250</v>
      </c>
      <c r="H161" s="22">
        <v>250</v>
      </c>
      <c r="I161" s="22"/>
      <c r="J161" t="s">
        <v>55</v>
      </c>
      <c r="L161" s="2" t="b">
        <f ca="1">AND(الحركات[[#This Row],[مدفوع من شهر]]&lt;=VALUE(TEXT($A$2,"YYYYMM")),الحركات[[#This Row],[الحالة]]="")</f>
        <v>0</v>
      </c>
      <c r="M161" s="2" t="str">
        <f>الحركات[من صندوق]&amp;"/"&amp;الحركات[إلى صندوق]</f>
        <v>الراتب/صيانة السيارة</v>
      </c>
      <c r="N161" s="2" t="str">
        <f>VLOOKUP(الحركات[من صندوق],Table1[],2,0)</f>
        <v>دخل</v>
      </c>
      <c r="O161" s="2" t="str">
        <f>VLOOKUP(الحركات[إلى صندوق],Table1[[الصندوق]:[نوعه]],2,0)</f>
        <v>صرف</v>
      </c>
    </row>
    <row r="162" spans="1:15" x14ac:dyDescent="0.3">
      <c r="A162">
        <v>201808</v>
      </c>
      <c r="B162" s="3"/>
      <c r="C162" t="s">
        <v>18</v>
      </c>
      <c r="D162" s="15">
        <f>VLOOKUP(الحركات[[#This Row],[من صندوق]],Table5[],5,0)</f>
        <v>225</v>
      </c>
      <c r="E162" t="s">
        <v>15</v>
      </c>
      <c r="F162" s="15">
        <f>VLOOKUP(الحركات[[#This Row],[إلى صندوق]],Table5[[الصندوق]:[الرصيد الفعلي]],5,0)</f>
        <v>0</v>
      </c>
      <c r="G162" s="15">
        <f>IF(VLOOKUP(الحركات[إلى صندوق],Table1[],3,0)=0,VLOOKUP(الحركات[[#This Row],[من صندوق]],Table1[[الصندوق]:[القيمة الشهرية]],3,0),VLOOKUP(الحركات[إلى صندوق],Table1[],3,0))</f>
        <v>285</v>
      </c>
      <c r="H162" s="22">
        <v>285</v>
      </c>
      <c r="I162" s="22"/>
      <c r="J162" t="s">
        <v>56</v>
      </c>
      <c r="L162" s="2" t="b">
        <f ca="1">AND(الحركات[[#This Row],[مدفوع من شهر]]&lt;=VALUE(TEXT($A$2,"YYYYMM")),الحركات[[#This Row],[الحالة]]="")</f>
        <v>0</v>
      </c>
      <c r="M162" s="2" t="str">
        <f>الحركات[من صندوق]&amp;"/"&amp;الحركات[إلى صندوق]</f>
        <v>الراتب/ملابس</v>
      </c>
      <c r="N162" s="2" t="str">
        <f>VLOOKUP(الحركات[من صندوق],Table1[],2,0)</f>
        <v>دخل</v>
      </c>
      <c r="O162" s="2" t="str">
        <f>VLOOKUP(الحركات[إلى صندوق],Table1[[الصندوق]:[نوعه]],2,0)</f>
        <v>صرف</v>
      </c>
    </row>
    <row r="163" spans="1:15" x14ac:dyDescent="0.3">
      <c r="A163">
        <v>201808</v>
      </c>
      <c r="B163" s="3"/>
      <c r="C163" t="s">
        <v>18</v>
      </c>
      <c r="D163" s="15">
        <f>VLOOKUP(الحركات[[#This Row],[من صندوق]],Table5[],5,0)</f>
        <v>225</v>
      </c>
      <c r="E163" t="s">
        <v>1</v>
      </c>
      <c r="F163" s="15">
        <f>VLOOKUP(الحركات[[#This Row],[إلى صندوق]],Table5[[الصندوق]:[الرصيد الفعلي]],5,0)</f>
        <v>0</v>
      </c>
      <c r="G163" s="15">
        <f>IF(VLOOKUP(الحركات[إلى صندوق],Table1[],3,0)=0,VLOOKUP(الحركات[[#This Row],[من صندوق]],Table1[[الصندوق]:[القيمة الشهرية]],3,0),VLOOKUP(الحركات[إلى صندوق],Table1[],3,0))</f>
        <v>190</v>
      </c>
      <c r="H163" s="22">
        <v>190</v>
      </c>
      <c r="I163" s="22"/>
      <c r="J163" t="s">
        <v>57</v>
      </c>
      <c r="L163" s="2" t="b">
        <f ca="1">AND(الحركات[[#This Row],[مدفوع من شهر]]&lt;=VALUE(TEXT($A$2,"YYYYMM")),الحركات[[#This Row],[الحالة]]="")</f>
        <v>0</v>
      </c>
      <c r="M163" s="2" t="str">
        <f>الحركات[من صندوق]&amp;"/"&amp;الحركات[إلى صندوق]</f>
        <v>الراتب/هدايا</v>
      </c>
      <c r="N163" s="2" t="str">
        <f>VLOOKUP(الحركات[من صندوق],Table1[],2,0)</f>
        <v>دخل</v>
      </c>
      <c r="O163" s="2" t="str">
        <f>VLOOKUP(الحركات[إلى صندوق],Table1[[الصندوق]:[نوعه]],2,0)</f>
        <v>صرف</v>
      </c>
    </row>
    <row r="164" spans="1:15" x14ac:dyDescent="0.3">
      <c r="A164">
        <v>201808</v>
      </c>
      <c r="B164" s="3"/>
      <c r="C164" t="s">
        <v>18</v>
      </c>
      <c r="D164" s="15">
        <f>VLOOKUP(الحركات[[#This Row],[من صندوق]],Table5[],5,0)</f>
        <v>225</v>
      </c>
      <c r="E164" t="s">
        <v>4</v>
      </c>
      <c r="F164" s="15">
        <f>VLOOKUP(الحركات[[#This Row],[إلى صندوق]],Table5[[الصندوق]:[الرصيد الفعلي]],5,0)</f>
        <v>200</v>
      </c>
      <c r="G164" s="15">
        <f>IF(VLOOKUP(الحركات[إلى صندوق],Table1[],3,0)=0,VLOOKUP(الحركات[[#This Row],[من صندوق]],Table1[[الصندوق]:[القيمة الشهرية]],3,0),VLOOKUP(الحركات[إلى صندوق],Table1[],3,0))</f>
        <v>200</v>
      </c>
      <c r="H164" s="22">
        <v>200</v>
      </c>
      <c r="I164" s="22"/>
      <c r="J164" t="s">
        <v>58</v>
      </c>
      <c r="L164" s="2" t="b">
        <f ca="1">AND(الحركات[[#This Row],[مدفوع من شهر]]&lt;=VALUE(TEXT($A$2,"YYYYMM")),الحركات[[#This Row],[الحالة]]="")</f>
        <v>0</v>
      </c>
      <c r="M164" s="2" t="str">
        <f>الحركات[من صندوق]&amp;"/"&amp;الحركات[إلى صندوق]</f>
        <v>الراتب/طوارئ</v>
      </c>
      <c r="N164" s="2" t="str">
        <f>VLOOKUP(الحركات[من صندوق],Table1[],2,0)</f>
        <v>دخل</v>
      </c>
      <c r="O164" s="2" t="str">
        <f>VLOOKUP(الحركات[إلى صندوق],Table1[[الصندوق]:[نوعه]],2,0)</f>
        <v>صرف</v>
      </c>
    </row>
    <row r="165" spans="1:15" x14ac:dyDescent="0.3">
      <c r="A165">
        <v>201808</v>
      </c>
      <c r="B165" s="3"/>
      <c r="C165" t="s">
        <v>11</v>
      </c>
      <c r="D165" s="16">
        <f>VLOOKUP(الحركات[[#This Row],[من صندوق]],Table5[],5,0)</f>
        <v>0</v>
      </c>
      <c r="E165" t="s">
        <v>14</v>
      </c>
      <c r="F165" s="16">
        <f>VLOOKUP(الحركات[[#This Row],[إلى صندوق]],Table5[[الصندوق]:[الرصيد الفعلي]],5,0)</f>
        <v>5025</v>
      </c>
      <c r="G165" s="16">
        <f>IF(VLOOKUP(الحركات[إلى صندوق],Table1[],3,0)=0,VLOOKUP(الحركات[[#This Row],[من صندوق]],Table1[[الصندوق]:[القيمة الشهرية]],3,0),VLOOKUP(الحركات[إلى صندوق],Table1[],3,0))</f>
        <v>250</v>
      </c>
      <c r="H165" s="22">
        <v>250</v>
      </c>
      <c r="I165" s="22"/>
      <c r="J165" t="s">
        <v>59</v>
      </c>
      <c r="L165" s="7" t="b">
        <f ca="1">AND(الحركات[[#This Row],[مدفوع من شهر]]&lt;=VALUE(TEXT($A$2,"YYYYMM")),الحركات[[#This Row],[الحالة]]="")</f>
        <v>0</v>
      </c>
      <c r="M165" s="7" t="str">
        <f>الحركات[من صندوق]&amp;"/"&amp;الحركات[إلى صندوق]</f>
        <v>فواتير/صرف</v>
      </c>
      <c r="N165" s="7" t="str">
        <f>VLOOKUP(الحركات[من صندوق],Table1[],2,0)</f>
        <v>صرف</v>
      </c>
      <c r="O165" s="7" t="str">
        <f>VLOOKUP(الحركات[إلى صندوق],Table1[[الصندوق]:[نوعه]],2,0)</f>
        <v>خارجي</v>
      </c>
    </row>
    <row r="166" spans="1:15" x14ac:dyDescent="0.3">
      <c r="A166">
        <v>201808</v>
      </c>
      <c r="B166" s="3"/>
      <c r="C166" t="s">
        <v>13</v>
      </c>
      <c r="D166" s="16">
        <f>VLOOKUP(الحركات[[#This Row],[من صندوق]],Table5[],5,0)</f>
        <v>0</v>
      </c>
      <c r="E166" t="s">
        <v>14</v>
      </c>
      <c r="F166" s="16">
        <f>VLOOKUP(الحركات[[#This Row],[إلى صندوق]],Table5[[الصندوق]:[الرصيد الفعلي]],5,0)</f>
        <v>5025</v>
      </c>
      <c r="G166" s="16">
        <f>IF(VLOOKUP(الحركات[إلى صندوق],Table1[],3,0)=0,VLOOKUP(الحركات[[#This Row],[من صندوق]],Table1[[الصندوق]:[القيمة الشهرية]],3,0),VLOOKUP(الحركات[إلى صندوق],Table1[],3,0))</f>
        <v>3800</v>
      </c>
      <c r="H166" s="22">
        <v>3800</v>
      </c>
      <c r="I166" s="22"/>
      <c r="J166" t="s">
        <v>60</v>
      </c>
      <c r="L166" s="7" t="b">
        <f ca="1">AND(الحركات[[#This Row],[مدفوع من شهر]]&lt;=VALUE(TEXT($A$2,"YYYYMM")),الحركات[[#This Row],[الحالة]]="")</f>
        <v>0</v>
      </c>
      <c r="M166" s="7" t="str">
        <f>الحركات[من صندوق]&amp;"/"&amp;الحركات[إلى صندوق]</f>
        <v>مصاريف شهرية/صرف</v>
      </c>
      <c r="N166" s="7" t="str">
        <f>VLOOKUP(الحركات[من صندوق],Table1[],2,0)</f>
        <v>صرف</v>
      </c>
      <c r="O166" s="7" t="str">
        <f>VLOOKUP(الحركات[إلى صندوق],Table1[[الصندوق]:[نوعه]],2,0)</f>
        <v>خارجي</v>
      </c>
    </row>
    <row r="167" spans="1:15" x14ac:dyDescent="0.3">
      <c r="A167">
        <v>201808</v>
      </c>
      <c r="B167" s="3"/>
      <c r="C167" t="s">
        <v>3</v>
      </c>
      <c r="D167" s="16">
        <f>VLOOKUP(الحركات[[#This Row],[من صندوق]],Table5[],5,0)</f>
        <v>2000</v>
      </c>
      <c r="E167" t="s">
        <v>14</v>
      </c>
      <c r="F167" s="16">
        <f>VLOOKUP(الحركات[[#This Row],[إلى صندوق]],Table5[[الصندوق]:[الرصيد الفعلي]],5,0)</f>
        <v>5025</v>
      </c>
      <c r="G167" s="16">
        <f>IF(VLOOKUP(الحركات[إلى صندوق],Table1[],3,0)=0,VLOOKUP(الحركات[[#This Row],[من صندوق]],Table1[[الصندوق]:[القيمة الشهرية]],3,0),VLOOKUP(الحركات[إلى صندوق],Table1[],3,0))</f>
        <v>2000</v>
      </c>
      <c r="H167" s="22">
        <v>8000</v>
      </c>
      <c r="I167" s="22"/>
      <c r="J167" t="s">
        <v>62</v>
      </c>
      <c r="L167" s="7" t="b">
        <f ca="1">AND(الحركات[[#This Row],[مدفوع من شهر]]&lt;=VALUE(TEXT($A$2,"YYYYMM")),الحركات[[#This Row],[الحالة]]="")</f>
        <v>0</v>
      </c>
      <c r="M167" s="7" t="str">
        <f>الحركات[من صندوق]&amp;"/"&amp;الحركات[إلى صندوق]</f>
        <v>مدارس/صرف</v>
      </c>
      <c r="N167" s="7" t="str">
        <f>VLOOKUP(الحركات[من صندوق],Table1[],2,0)</f>
        <v>صرف</v>
      </c>
      <c r="O167" s="7" t="str">
        <f>VLOOKUP(الحركات[إلى صندوق],Table1[[الصندوق]:[نوعه]],2,0)</f>
        <v>خارجي</v>
      </c>
    </row>
    <row r="168" spans="1:15" x14ac:dyDescent="0.3">
      <c r="A168">
        <v>201808</v>
      </c>
      <c r="B168" s="3"/>
      <c r="C168" t="s">
        <v>0</v>
      </c>
      <c r="D168" s="16">
        <f>VLOOKUP(الحركات[[#This Row],[من صندوق]],Table5[],5,0)</f>
        <v>0</v>
      </c>
      <c r="E168" t="s">
        <v>14</v>
      </c>
      <c r="F168" s="16">
        <f>VLOOKUP(الحركات[[#This Row],[إلى صندوق]],Table5[[الصندوق]:[الرصيد الفعلي]],5,0)</f>
        <v>5025</v>
      </c>
      <c r="G168" s="16">
        <f>IF(VLOOKUP(الحركات[إلى صندوق],Table1[],3,0)=0,VLOOKUP(الحركات[[#This Row],[من صندوق]],Table1[[الصندوق]:[القيمة الشهرية]],3,0),VLOOKUP(الحركات[إلى صندوق],Table1[],3,0))</f>
        <v>500</v>
      </c>
      <c r="H168" s="22">
        <v>500</v>
      </c>
      <c r="I168" s="22"/>
      <c r="J168" t="s">
        <v>66</v>
      </c>
      <c r="L168" s="7" t="b">
        <f ca="1">AND(الحركات[[#This Row],[مدفوع من شهر]]&lt;=VALUE(TEXT($A$2,"YYYYMM")),الحركات[[#This Row],[الحالة]]="")</f>
        <v>0</v>
      </c>
      <c r="M168" s="7" t="str">
        <f>الحركات[من صندوق]&amp;"/"&amp;الحركات[إلى صندوق]</f>
        <v>توفير/صرف</v>
      </c>
      <c r="N168" s="7" t="str">
        <f>VLOOKUP(الحركات[من صندوق],Table1[],2,0)</f>
        <v>صرف</v>
      </c>
      <c r="O168" s="7" t="str">
        <f>VLOOKUP(الحركات[إلى صندوق],Table1[[الصندوق]:[نوعه]],2,0)</f>
        <v>خارجي</v>
      </c>
    </row>
    <row r="169" spans="1:15" x14ac:dyDescent="0.3">
      <c r="A169">
        <v>201808</v>
      </c>
      <c r="B169" s="3"/>
      <c r="C169" t="s">
        <v>15</v>
      </c>
      <c r="D169" s="17">
        <f>VLOOKUP(الحركات[[#This Row],[من صندوق]],Table5[],5,0)</f>
        <v>0</v>
      </c>
      <c r="E169" t="s">
        <v>14</v>
      </c>
      <c r="F169" s="17">
        <f>VLOOKUP(الحركات[[#This Row],[إلى صندوق]],Table5[[الصندوق]:[الرصيد الفعلي]],5,0)</f>
        <v>5025</v>
      </c>
      <c r="G169" s="17">
        <f>IF(VLOOKUP(الحركات[إلى صندوق],Table1[],3,0)=0,VLOOKUP(الحركات[[#This Row],[من صندوق]],Table1[[الصندوق]:[القيمة الشهرية]],3,0),VLOOKUP(الحركات[إلى صندوق],Table1[],3,0))</f>
        <v>285</v>
      </c>
      <c r="H169" s="22">
        <v>285</v>
      </c>
      <c r="I169" s="22"/>
      <c r="J169" t="s">
        <v>71</v>
      </c>
      <c r="L169" s="8" t="b">
        <f ca="1">AND(الحركات[[#This Row],[مدفوع من شهر]]&lt;=VALUE(TEXT($A$2,"YYYYMM")),الحركات[[#This Row],[الحالة]]="")</f>
        <v>0</v>
      </c>
      <c r="M169" s="8" t="str">
        <f>الحركات[من صندوق]&amp;"/"&amp;الحركات[إلى صندوق]</f>
        <v>ملابس/صرف</v>
      </c>
      <c r="N169" s="8" t="str">
        <f>VLOOKUP(الحركات[من صندوق],Table1[],2,0)</f>
        <v>صرف</v>
      </c>
      <c r="O169" s="8" t="str">
        <f>VLOOKUP(الحركات[إلى صندوق],Table1[[الصندوق]:[نوعه]],2,0)</f>
        <v>خارجي</v>
      </c>
    </row>
    <row r="170" spans="1:15" x14ac:dyDescent="0.3">
      <c r="A170">
        <v>201808</v>
      </c>
      <c r="B170" s="3"/>
      <c r="C170" t="s">
        <v>1</v>
      </c>
      <c r="D170" s="17">
        <f>VLOOKUP(الحركات[[#This Row],[من صندوق]],Table5[],5,0)</f>
        <v>0</v>
      </c>
      <c r="E170" t="s">
        <v>14</v>
      </c>
      <c r="F170" s="17">
        <f>VLOOKUP(الحركات[[#This Row],[إلى صندوق]],Table5[[الصندوق]:[الرصيد الفعلي]],5,0)</f>
        <v>5025</v>
      </c>
      <c r="G170" s="17">
        <f>IF(VLOOKUP(الحركات[إلى صندوق],Table1[],3,0)=0,VLOOKUP(الحركات[[#This Row],[من صندوق]],Table1[[الصندوق]:[القيمة الشهرية]],3,0),VLOOKUP(الحركات[إلى صندوق],Table1[],3,0))</f>
        <v>190</v>
      </c>
      <c r="H170" s="22">
        <v>190</v>
      </c>
      <c r="I170" s="22"/>
      <c r="J170" t="s">
        <v>72</v>
      </c>
      <c r="L170" s="8" t="b">
        <f ca="1">AND(الحركات[[#This Row],[مدفوع من شهر]]&lt;=VALUE(TEXT($A$2,"YYYYMM")),الحركات[[#This Row],[الحالة]]="")</f>
        <v>0</v>
      </c>
      <c r="M170" s="8" t="str">
        <f>الحركات[من صندوق]&amp;"/"&amp;الحركات[إلى صندوق]</f>
        <v>هدايا/صرف</v>
      </c>
      <c r="N170" s="8" t="str">
        <f>VLOOKUP(الحركات[من صندوق],Table1[],2,0)</f>
        <v>صرف</v>
      </c>
      <c r="O170" s="8" t="str">
        <f>VLOOKUP(الحركات[إلى صندوق],Table1[[الصندوق]:[نوعه]],2,0)</f>
        <v>خارجي</v>
      </c>
    </row>
    <row r="171" spans="1:15" x14ac:dyDescent="0.3">
      <c r="A171">
        <v>201809</v>
      </c>
      <c r="B171" s="3"/>
      <c r="C171" t="s">
        <v>20</v>
      </c>
      <c r="D171" s="15">
        <f>VLOOKUP(الحركات[[#This Row],[من صندوق]],Table5[],5,0)</f>
        <v>-10000</v>
      </c>
      <c r="E171" t="s">
        <v>18</v>
      </c>
      <c r="F171" s="15">
        <f>VLOOKUP(الحركات[[#This Row],[إلى صندوق]],Table5[[الصندوق]:[الرصيد الفعلي]],5,0)</f>
        <v>225</v>
      </c>
      <c r="G171" s="15">
        <f>IF(VLOOKUP(الحركات[إلى صندوق],Table1[],3,0)=0,VLOOKUP(الحركات[[#This Row],[من صندوق]],Table1[[الصندوق]:[القيمة الشهرية]],3,0),VLOOKUP(الحركات[إلى صندوق],Table1[],3,0))</f>
        <v>10000</v>
      </c>
      <c r="H171" s="22">
        <v>10000</v>
      </c>
      <c r="I171" s="22"/>
      <c r="J171" t="s">
        <v>40</v>
      </c>
      <c r="L171" s="2" t="b">
        <f ca="1">AND(الحركات[[#This Row],[مدفوع من شهر]]&lt;=VALUE(TEXT($A$2,"YYYYMM")),الحركات[[#This Row],[الحالة]]="")</f>
        <v>0</v>
      </c>
      <c r="M171" s="2" t="str">
        <f>الحركات[من صندوق]&amp;"/"&amp;الحركات[إلى صندوق]</f>
        <v>الشركة/الراتب</v>
      </c>
      <c r="N171" s="2" t="str">
        <f>VLOOKUP(الحركات[من صندوق],Table1[],2,0)</f>
        <v>خارجي</v>
      </c>
      <c r="O171" s="2" t="str">
        <f>VLOOKUP(الحركات[إلى صندوق],Table1[[الصندوق]:[نوعه]],2,0)</f>
        <v>دخل</v>
      </c>
    </row>
    <row r="172" spans="1:15" x14ac:dyDescent="0.3">
      <c r="A172">
        <v>201809</v>
      </c>
      <c r="B172" s="3"/>
      <c r="C172" t="s">
        <v>18</v>
      </c>
      <c r="D172" s="15">
        <f>VLOOKUP(الحركات[[#This Row],[من صندوق]],Table5[],5,0)</f>
        <v>225</v>
      </c>
      <c r="E172" t="s">
        <v>11</v>
      </c>
      <c r="F172" s="15">
        <f>VLOOKUP(الحركات[[#This Row],[إلى صندوق]],Table5[[الصندوق]:[الرصيد الفعلي]],5,0)</f>
        <v>0</v>
      </c>
      <c r="G172" s="15">
        <f>IF(VLOOKUP(الحركات[إلى صندوق],Table1[],3,0)=0,VLOOKUP(الحركات[[#This Row],[من صندوق]],Table1[[الصندوق]:[القيمة الشهرية]],3,0),VLOOKUP(الحركات[إلى صندوق],Table1[],3,0))</f>
        <v>250</v>
      </c>
      <c r="H172" s="22">
        <v>250</v>
      </c>
      <c r="I172" s="22"/>
      <c r="J172" t="s">
        <v>47</v>
      </c>
      <c r="L172" s="2" t="b">
        <f ca="1">AND(الحركات[[#This Row],[مدفوع من شهر]]&lt;=VALUE(TEXT($A$2,"YYYYMM")),الحركات[[#This Row],[الحالة]]="")</f>
        <v>0</v>
      </c>
      <c r="M172" s="2" t="str">
        <f>الحركات[من صندوق]&amp;"/"&amp;الحركات[إلى صندوق]</f>
        <v>الراتب/فواتير</v>
      </c>
      <c r="N172" s="2" t="str">
        <f>VLOOKUP(الحركات[من صندوق],Table1[],2,0)</f>
        <v>دخل</v>
      </c>
      <c r="O172" s="2" t="str">
        <f>VLOOKUP(الحركات[إلى صندوق],Table1[[الصندوق]:[نوعه]],2,0)</f>
        <v>صرف</v>
      </c>
    </row>
    <row r="173" spans="1:15" x14ac:dyDescent="0.3">
      <c r="A173">
        <v>201809</v>
      </c>
      <c r="B173" s="3"/>
      <c r="C173" t="s">
        <v>18</v>
      </c>
      <c r="D173" s="15">
        <f>VLOOKUP(الحركات[[#This Row],[من صندوق]],Table5[],5,0)</f>
        <v>225</v>
      </c>
      <c r="E173" t="s">
        <v>13</v>
      </c>
      <c r="F173" s="15">
        <f>VLOOKUP(الحركات[[#This Row],[إلى صندوق]],Table5[[الصندوق]:[الرصيد الفعلي]],5,0)</f>
        <v>0</v>
      </c>
      <c r="G173" s="15">
        <f>IF(VLOOKUP(الحركات[إلى صندوق],Table1[],3,0)=0,VLOOKUP(الحركات[[#This Row],[من صندوق]],Table1[[الصندوق]:[القيمة الشهرية]],3,0),VLOOKUP(الحركات[إلى صندوق],Table1[],3,0))</f>
        <v>3800</v>
      </c>
      <c r="H173" s="22">
        <v>3800</v>
      </c>
      <c r="I173" s="22"/>
      <c r="J173" t="s">
        <v>48</v>
      </c>
      <c r="L173" s="2" t="b">
        <f ca="1">AND(الحركات[[#This Row],[مدفوع من شهر]]&lt;=VALUE(TEXT($A$2,"YYYYMM")),الحركات[[#This Row],[الحالة]]="")</f>
        <v>0</v>
      </c>
      <c r="M173" s="2" t="str">
        <f>الحركات[من صندوق]&amp;"/"&amp;الحركات[إلى صندوق]</f>
        <v>الراتب/مصاريف شهرية</v>
      </c>
      <c r="N173" s="2" t="str">
        <f>VLOOKUP(الحركات[من صندوق],Table1[],2,0)</f>
        <v>دخل</v>
      </c>
      <c r="O173" s="2" t="str">
        <f>VLOOKUP(الحركات[إلى صندوق],Table1[[الصندوق]:[نوعه]],2,0)</f>
        <v>صرف</v>
      </c>
    </row>
    <row r="174" spans="1:15" x14ac:dyDescent="0.3">
      <c r="A174">
        <v>201809</v>
      </c>
      <c r="B174" s="3"/>
      <c r="C174" t="s">
        <v>18</v>
      </c>
      <c r="D174" s="15">
        <f>VLOOKUP(الحركات[[#This Row],[من صندوق]],Table5[],5,0)</f>
        <v>225</v>
      </c>
      <c r="E174" t="s">
        <v>3</v>
      </c>
      <c r="F174" s="15">
        <f>VLOOKUP(الحركات[[#This Row],[إلى صندوق]],Table5[[الصندوق]:[الرصيد الفعلي]],5,0)</f>
        <v>2000</v>
      </c>
      <c r="G174" s="15">
        <f>IF(VLOOKUP(الحركات[إلى صندوق],Table1[],3,0)=0,VLOOKUP(الحركات[[#This Row],[من صندوق]],Table1[[الصندوق]:[القيمة الشهرية]],3,0),VLOOKUP(الحركات[إلى صندوق],Table1[],3,0))</f>
        <v>2000</v>
      </c>
      <c r="H174" s="22">
        <v>2000</v>
      </c>
      <c r="I174" s="22"/>
      <c r="J174" t="s">
        <v>49</v>
      </c>
      <c r="L174" s="2" t="b">
        <f ca="1">AND(الحركات[[#This Row],[مدفوع من شهر]]&lt;=VALUE(TEXT($A$2,"YYYYMM")),الحركات[[#This Row],[الحالة]]="")</f>
        <v>0</v>
      </c>
      <c r="M174" s="2" t="str">
        <f>الحركات[من صندوق]&amp;"/"&amp;الحركات[إلى صندوق]</f>
        <v>الراتب/مدارس</v>
      </c>
      <c r="N174" s="2" t="str">
        <f>VLOOKUP(الحركات[من صندوق],Table1[],2,0)</f>
        <v>دخل</v>
      </c>
      <c r="O174" s="2" t="str">
        <f>VLOOKUP(الحركات[إلى صندوق],Table1[[الصندوق]:[نوعه]],2,0)</f>
        <v>صرف</v>
      </c>
    </row>
    <row r="175" spans="1:15" x14ac:dyDescent="0.3">
      <c r="A175">
        <v>201809</v>
      </c>
      <c r="B175" s="3"/>
      <c r="C175" t="s">
        <v>18</v>
      </c>
      <c r="D175" s="15">
        <f>VLOOKUP(الحركات[[#This Row],[من صندوق]],Table5[],5,0)</f>
        <v>225</v>
      </c>
      <c r="E175" t="s">
        <v>21</v>
      </c>
      <c r="F175" s="15">
        <f>VLOOKUP(الحركات[[#This Row],[إلى صندوق]],Table5[[الصندوق]:[الرصيد الفعلي]],5,0)</f>
        <v>1500</v>
      </c>
      <c r="G175" s="15">
        <f>IF(VLOOKUP(الحركات[إلى صندوق],Table1[],3,0)=0,VLOOKUP(الحركات[[#This Row],[من صندوق]],Table1[[الصندوق]:[القيمة الشهرية]],3,0),VLOOKUP(الحركات[إلى صندوق],Table1[],3,0))</f>
        <v>1500</v>
      </c>
      <c r="H175" s="22">
        <v>1500</v>
      </c>
      <c r="I175" s="22"/>
      <c r="J175" t="s">
        <v>50</v>
      </c>
      <c r="L175" s="2" t="b">
        <f ca="1">AND(الحركات[[#This Row],[مدفوع من شهر]]&lt;=VALUE(TEXT($A$2,"YYYYMM")),الحركات[[#This Row],[الحالة]]="")</f>
        <v>0</v>
      </c>
      <c r="M175" s="2" t="str">
        <f>الحركات[من صندوق]&amp;"/"&amp;الحركات[إلى صندوق]</f>
        <v>الراتب/ايجار المنزل</v>
      </c>
      <c r="N175" s="2" t="str">
        <f>VLOOKUP(الحركات[من صندوق],Table1[],2,0)</f>
        <v>دخل</v>
      </c>
      <c r="O175" s="2" t="str">
        <f>VLOOKUP(الحركات[إلى صندوق],Table1[[الصندوق]:[نوعه]],2,0)</f>
        <v>صرف</v>
      </c>
    </row>
    <row r="176" spans="1:15" x14ac:dyDescent="0.3">
      <c r="A176">
        <v>201809</v>
      </c>
      <c r="B176" s="3"/>
      <c r="C176" t="s">
        <v>18</v>
      </c>
      <c r="D176" s="15">
        <f>VLOOKUP(الحركات[[#This Row],[من صندوق]],Table5[],5,0)</f>
        <v>225</v>
      </c>
      <c r="E176" t="s">
        <v>0</v>
      </c>
      <c r="F176" s="15">
        <f>VLOOKUP(الحركات[[#This Row],[إلى صندوق]],Table5[[الصندوق]:[الرصيد الفعلي]],5,0)</f>
        <v>0</v>
      </c>
      <c r="G176" s="15">
        <f>IF(VLOOKUP(الحركات[إلى صندوق],Table1[],3,0)=0,VLOOKUP(الحركات[[#This Row],[من صندوق]],Table1[[الصندوق]:[القيمة الشهرية]],3,0),VLOOKUP(الحركات[إلى صندوق],Table1[],3,0))</f>
        <v>500</v>
      </c>
      <c r="H176" s="22">
        <v>500</v>
      </c>
      <c r="I176" s="22"/>
      <c r="J176" t="s">
        <v>51</v>
      </c>
      <c r="L176" s="2" t="b">
        <f ca="1">AND(الحركات[[#This Row],[مدفوع من شهر]]&lt;=VALUE(TEXT($A$2,"YYYYMM")),الحركات[[#This Row],[الحالة]]="")</f>
        <v>0</v>
      </c>
      <c r="M176" s="2" t="str">
        <f>الحركات[من صندوق]&amp;"/"&amp;الحركات[إلى صندوق]</f>
        <v>الراتب/توفير</v>
      </c>
      <c r="N176" s="2" t="str">
        <f>VLOOKUP(الحركات[من صندوق],Table1[],2,0)</f>
        <v>دخل</v>
      </c>
      <c r="O176" s="2" t="str">
        <f>VLOOKUP(الحركات[إلى صندوق],Table1[[الصندوق]:[نوعه]],2,0)</f>
        <v>صرف</v>
      </c>
    </row>
    <row r="177" spans="1:15" x14ac:dyDescent="0.3">
      <c r="A177">
        <v>201809</v>
      </c>
      <c r="B177" s="3"/>
      <c r="C177" t="s">
        <v>18</v>
      </c>
      <c r="D177" s="15">
        <f>VLOOKUP(الحركات[[#This Row],[من صندوق]],Table5[],5,0)</f>
        <v>225</v>
      </c>
      <c r="E177" t="s">
        <v>12</v>
      </c>
      <c r="F177" s="15">
        <f>VLOOKUP(الحركات[[#This Row],[إلى صندوق]],Table5[[الصندوق]:[الرصيد الفعلي]],5,0)</f>
        <v>400</v>
      </c>
      <c r="G177" s="15">
        <f>IF(VLOOKUP(الحركات[إلى صندوق],Table1[],3,0)=0,VLOOKUP(الحركات[[#This Row],[من صندوق]],Table1[[الصندوق]:[القيمة الشهرية]],3,0),VLOOKUP(الحركات[إلى صندوق],Table1[],3,0))</f>
        <v>400</v>
      </c>
      <c r="H177" s="22">
        <v>400</v>
      </c>
      <c r="I177" s="22"/>
      <c r="J177" t="s">
        <v>52</v>
      </c>
      <c r="L177" s="2" t="b">
        <f ca="1">AND(الحركات[[#This Row],[مدفوع من شهر]]&lt;=VALUE(TEXT($A$2,"YYYYMM")),الحركات[[#This Row],[الحالة]]="")</f>
        <v>0</v>
      </c>
      <c r="M177" s="2" t="str">
        <f>الحركات[من صندوق]&amp;"/"&amp;الحركات[إلى صندوق]</f>
        <v>الراتب/اجازات</v>
      </c>
      <c r="N177" s="2" t="str">
        <f>VLOOKUP(الحركات[من صندوق],Table1[],2,0)</f>
        <v>دخل</v>
      </c>
      <c r="O177" s="2" t="str">
        <f>VLOOKUP(الحركات[إلى صندوق],Table1[[الصندوق]:[نوعه]],2,0)</f>
        <v>صرف</v>
      </c>
    </row>
    <row r="178" spans="1:15" x14ac:dyDescent="0.3">
      <c r="A178">
        <v>201809</v>
      </c>
      <c r="B178" s="3"/>
      <c r="C178" t="s">
        <v>18</v>
      </c>
      <c r="D178" s="15">
        <f>VLOOKUP(الحركات[[#This Row],[من صندوق]],Table5[],5,0)</f>
        <v>225</v>
      </c>
      <c r="E178" t="s">
        <v>9</v>
      </c>
      <c r="F178" s="15">
        <f>VLOOKUP(الحركات[[#This Row],[إلى صندوق]],Table5[[الصندوق]:[الرصيد الفعلي]],5,0)</f>
        <v>200</v>
      </c>
      <c r="G178" s="15">
        <f>IF(VLOOKUP(الحركات[إلى صندوق],Table1[],3,0)=0,VLOOKUP(الحركات[[#This Row],[من صندوق]],Table1[[الصندوق]:[القيمة الشهرية]],3,0),VLOOKUP(الحركات[إلى صندوق],Table1[],3,0))</f>
        <v>200</v>
      </c>
      <c r="H178" s="22">
        <v>200</v>
      </c>
      <c r="I178" s="22"/>
      <c r="J178" t="s">
        <v>53</v>
      </c>
      <c r="L178" s="2" t="b">
        <f ca="1">AND(الحركات[[#This Row],[مدفوع من شهر]]&lt;=VALUE(TEXT($A$2,"YYYYMM")),الحركات[[#This Row],[الحالة]]="")</f>
        <v>0</v>
      </c>
      <c r="M178" s="2" t="str">
        <f>الحركات[من صندوق]&amp;"/"&amp;الحركات[إلى صندوق]</f>
        <v>الراتب/دورات</v>
      </c>
      <c r="N178" s="2" t="str">
        <f>VLOOKUP(الحركات[من صندوق],Table1[],2,0)</f>
        <v>دخل</v>
      </c>
      <c r="O178" s="2" t="str">
        <f>VLOOKUP(الحركات[إلى صندوق],Table1[[الصندوق]:[نوعه]],2,0)</f>
        <v>صرف</v>
      </c>
    </row>
    <row r="179" spans="1:15" x14ac:dyDescent="0.3">
      <c r="A179">
        <v>201809</v>
      </c>
      <c r="B179" s="3"/>
      <c r="C179" t="s">
        <v>18</v>
      </c>
      <c r="D179" s="15">
        <f>VLOOKUP(الحركات[[#This Row],[من صندوق]],Table5[],5,0)</f>
        <v>225</v>
      </c>
      <c r="E179" t="s">
        <v>22</v>
      </c>
      <c r="F179" s="15">
        <f>VLOOKUP(الحركات[[#This Row],[إلى صندوق]],Table5[[الصندوق]:[الرصيد الفعلي]],5,0)</f>
        <v>200</v>
      </c>
      <c r="G179" s="15">
        <f>IF(VLOOKUP(الحركات[إلى صندوق],Table1[],3,0)=0,VLOOKUP(الحركات[[#This Row],[من صندوق]],Table1[[الصندوق]:[القيمة الشهرية]],3,0),VLOOKUP(الحركات[إلى صندوق],Table1[],3,0))</f>
        <v>200</v>
      </c>
      <c r="H179" s="22">
        <v>200</v>
      </c>
      <c r="I179" s="22"/>
      <c r="J179" t="s">
        <v>54</v>
      </c>
      <c r="L179" s="2" t="b">
        <f ca="1">AND(الحركات[[#This Row],[مدفوع من شهر]]&lt;=VALUE(TEXT($A$2,"YYYYMM")),الحركات[[#This Row],[الحالة]]="")</f>
        <v>0</v>
      </c>
      <c r="M179" s="2" t="str">
        <f>الحركات[من صندوق]&amp;"/"&amp;الحركات[إلى صندوق]</f>
        <v>الراتب/زكاة</v>
      </c>
      <c r="N179" s="2" t="str">
        <f>VLOOKUP(الحركات[من صندوق],Table1[],2,0)</f>
        <v>دخل</v>
      </c>
      <c r="O179" s="2" t="str">
        <f>VLOOKUP(الحركات[إلى صندوق],Table1[[الصندوق]:[نوعه]],2,0)</f>
        <v>صرف</v>
      </c>
    </row>
    <row r="180" spans="1:15" x14ac:dyDescent="0.3">
      <c r="A180">
        <v>201809</v>
      </c>
      <c r="B180" s="3"/>
      <c r="C180" t="s">
        <v>18</v>
      </c>
      <c r="D180" s="15">
        <f>VLOOKUP(الحركات[[#This Row],[من صندوق]],Table5[],5,0)</f>
        <v>225</v>
      </c>
      <c r="E180" t="s">
        <v>10</v>
      </c>
      <c r="F180" s="15">
        <f>VLOOKUP(الحركات[[#This Row],[إلى صندوق]],Table5[[الصندوق]:[الرصيد الفعلي]],5,0)</f>
        <v>250</v>
      </c>
      <c r="G180" s="15">
        <f>IF(VLOOKUP(الحركات[إلى صندوق],Table1[],3,0)=0,VLOOKUP(الحركات[[#This Row],[من صندوق]],Table1[[الصندوق]:[القيمة الشهرية]],3,0),VLOOKUP(الحركات[إلى صندوق],Table1[],3,0))</f>
        <v>250</v>
      </c>
      <c r="H180" s="22">
        <v>250</v>
      </c>
      <c r="I180" s="22"/>
      <c r="J180" t="s">
        <v>55</v>
      </c>
      <c r="L180" s="2" t="b">
        <f ca="1">AND(الحركات[[#This Row],[مدفوع من شهر]]&lt;=VALUE(TEXT($A$2,"YYYYMM")),الحركات[[#This Row],[الحالة]]="")</f>
        <v>0</v>
      </c>
      <c r="M180" s="2" t="str">
        <f>الحركات[من صندوق]&amp;"/"&amp;الحركات[إلى صندوق]</f>
        <v>الراتب/صيانة السيارة</v>
      </c>
      <c r="N180" s="2" t="str">
        <f>VLOOKUP(الحركات[من صندوق],Table1[],2,0)</f>
        <v>دخل</v>
      </c>
      <c r="O180" s="2" t="str">
        <f>VLOOKUP(الحركات[إلى صندوق],Table1[[الصندوق]:[نوعه]],2,0)</f>
        <v>صرف</v>
      </c>
    </row>
    <row r="181" spans="1:15" x14ac:dyDescent="0.3">
      <c r="A181">
        <v>201809</v>
      </c>
      <c r="B181" s="3"/>
      <c r="C181" t="s">
        <v>18</v>
      </c>
      <c r="D181" s="15">
        <f>VLOOKUP(الحركات[[#This Row],[من صندوق]],Table5[],5,0)</f>
        <v>225</v>
      </c>
      <c r="E181" t="s">
        <v>15</v>
      </c>
      <c r="F181" s="15">
        <f>VLOOKUP(الحركات[[#This Row],[إلى صندوق]],Table5[[الصندوق]:[الرصيد الفعلي]],5,0)</f>
        <v>0</v>
      </c>
      <c r="G181" s="15">
        <f>IF(VLOOKUP(الحركات[إلى صندوق],Table1[],3,0)=0,VLOOKUP(الحركات[[#This Row],[من صندوق]],Table1[[الصندوق]:[القيمة الشهرية]],3,0),VLOOKUP(الحركات[إلى صندوق],Table1[],3,0))</f>
        <v>285</v>
      </c>
      <c r="H181" s="22">
        <v>285</v>
      </c>
      <c r="I181" s="22"/>
      <c r="J181" t="s">
        <v>56</v>
      </c>
      <c r="L181" s="2" t="b">
        <f ca="1">AND(الحركات[[#This Row],[مدفوع من شهر]]&lt;=VALUE(TEXT($A$2,"YYYYMM")),الحركات[[#This Row],[الحالة]]="")</f>
        <v>0</v>
      </c>
      <c r="M181" s="2" t="str">
        <f>الحركات[من صندوق]&amp;"/"&amp;الحركات[إلى صندوق]</f>
        <v>الراتب/ملابس</v>
      </c>
      <c r="N181" s="2" t="str">
        <f>VLOOKUP(الحركات[من صندوق],Table1[],2,0)</f>
        <v>دخل</v>
      </c>
      <c r="O181" s="2" t="str">
        <f>VLOOKUP(الحركات[إلى صندوق],Table1[[الصندوق]:[نوعه]],2,0)</f>
        <v>صرف</v>
      </c>
    </row>
    <row r="182" spans="1:15" x14ac:dyDescent="0.3">
      <c r="A182">
        <v>201809</v>
      </c>
      <c r="B182" s="3"/>
      <c r="C182" t="s">
        <v>18</v>
      </c>
      <c r="D182" s="15">
        <f>VLOOKUP(الحركات[[#This Row],[من صندوق]],Table5[],5,0)</f>
        <v>225</v>
      </c>
      <c r="E182" t="s">
        <v>1</v>
      </c>
      <c r="F182" s="15">
        <f>VLOOKUP(الحركات[[#This Row],[إلى صندوق]],Table5[[الصندوق]:[الرصيد الفعلي]],5,0)</f>
        <v>0</v>
      </c>
      <c r="G182" s="15">
        <f>IF(VLOOKUP(الحركات[إلى صندوق],Table1[],3,0)=0,VLOOKUP(الحركات[[#This Row],[من صندوق]],Table1[[الصندوق]:[القيمة الشهرية]],3,0),VLOOKUP(الحركات[إلى صندوق],Table1[],3,0))</f>
        <v>190</v>
      </c>
      <c r="H182" s="22">
        <v>190</v>
      </c>
      <c r="I182" s="22"/>
      <c r="J182" t="s">
        <v>57</v>
      </c>
      <c r="L182" s="2" t="b">
        <f ca="1">AND(الحركات[[#This Row],[مدفوع من شهر]]&lt;=VALUE(TEXT($A$2,"YYYYMM")),الحركات[[#This Row],[الحالة]]="")</f>
        <v>0</v>
      </c>
      <c r="M182" s="2" t="str">
        <f>الحركات[من صندوق]&amp;"/"&amp;الحركات[إلى صندوق]</f>
        <v>الراتب/هدايا</v>
      </c>
      <c r="N182" s="2" t="str">
        <f>VLOOKUP(الحركات[من صندوق],Table1[],2,0)</f>
        <v>دخل</v>
      </c>
      <c r="O182" s="2" t="str">
        <f>VLOOKUP(الحركات[إلى صندوق],Table1[[الصندوق]:[نوعه]],2,0)</f>
        <v>صرف</v>
      </c>
    </row>
    <row r="183" spans="1:15" x14ac:dyDescent="0.3">
      <c r="A183">
        <v>201809</v>
      </c>
      <c r="B183" s="3"/>
      <c r="C183" t="s">
        <v>18</v>
      </c>
      <c r="D183" s="15">
        <f>VLOOKUP(الحركات[[#This Row],[من صندوق]],Table5[],5,0)</f>
        <v>225</v>
      </c>
      <c r="E183" t="s">
        <v>4</v>
      </c>
      <c r="F183" s="15">
        <f>VLOOKUP(الحركات[[#This Row],[إلى صندوق]],Table5[[الصندوق]:[الرصيد الفعلي]],5,0)</f>
        <v>200</v>
      </c>
      <c r="G183" s="15">
        <f>IF(VLOOKUP(الحركات[إلى صندوق],Table1[],3,0)=0,VLOOKUP(الحركات[[#This Row],[من صندوق]],Table1[[الصندوق]:[القيمة الشهرية]],3,0),VLOOKUP(الحركات[إلى صندوق],Table1[],3,0))</f>
        <v>200</v>
      </c>
      <c r="H183" s="22">
        <v>200</v>
      </c>
      <c r="I183" s="22"/>
      <c r="J183" t="s">
        <v>58</v>
      </c>
      <c r="L183" s="2" t="b">
        <f ca="1">AND(الحركات[[#This Row],[مدفوع من شهر]]&lt;=VALUE(TEXT($A$2,"YYYYMM")),الحركات[[#This Row],[الحالة]]="")</f>
        <v>0</v>
      </c>
      <c r="M183" s="2" t="str">
        <f>الحركات[من صندوق]&amp;"/"&amp;الحركات[إلى صندوق]</f>
        <v>الراتب/طوارئ</v>
      </c>
      <c r="N183" s="2" t="str">
        <f>VLOOKUP(الحركات[من صندوق],Table1[],2,0)</f>
        <v>دخل</v>
      </c>
      <c r="O183" s="2" t="str">
        <f>VLOOKUP(الحركات[إلى صندوق],Table1[[الصندوق]:[نوعه]],2,0)</f>
        <v>صرف</v>
      </c>
    </row>
    <row r="184" spans="1:15" x14ac:dyDescent="0.3">
      <c r="A184">
        <v>201809</v>
      </c>
      <c r="B184" s="3"/>
      <c r="C184" t="s">
        <v>11</v>
      </c>
      <c r="D184" s="16">
        <f>VLOOKUP(الحركات[[#This Row],[من صندوق]],Table5[],5,0)</f>
        <v>0</v>
      </c>
      <c r="E184" t="s">
        <v>14</v>
      </c>
      <c r="F184" s="16">
        <f>VLOOKUP(الحركات[[#This Row],[إلى صندوق]],Table5[[الصندوق]:[الرصيد الفعلي]],5,0)</f>
        <v>5025</v>
      </c>
      <c r="G184" s="16">
        <f>IF(VLOOKUP(الحركات[إلى صندوق],Table1[],3,0)=0,VLOOKUP(الحركات[[#This Row],[من صندوق]],Table1[[الصندوق]:[القيمة الشهرية]],3,0),VLOOKUP(الحركات[إلى صندوق],Table1[],3,0))</f>
        <v>250</v>
      </c>
      <c r="H184" s="22">
        <v>250</v>
      </c>
      <c r="I184" s="22"/>
      <c r="J184" t="s">
        <v>59</v>
      </c>
      <c r="L184" s="7" t="b">
        <f ca="1">AND(الحركات[[#This Row],[مدفوع من شهر]]&lt;=VALUE(TEXT($A$2,"YYYYMM")),الحركات[[#This Row],[الحالة]]="")</f>
        <v>0</v>
      </c>
      <c r="M184" s="7" t="str">
        <f>الحركات[من صندوق]&amp;"/"&amp;الحركات[إلى صندوق]</f>
        <v>فواتير/صرف</v>
      </c>
      <c r="N184" s="7" t="str">
        <f>VLOOKUP(الحركات[من صندوق],Table1[],2,0)</f>
        <v>صرف</v>
      </c>
      <c r="O184" s="7" t="str">
        <f>VLOOKUP(الحركات[إلى صندوق],Table1[[الصندوق]:[نوعه]],2,0)</f>
        <v>خارجي</v>
      </c>
    </row>
    <row r="185" spans="1:15" x14ac:dyDescent="0.3">
      <c r="A185">
        <v>201809</v>
      </c>
      <c r="B185" s="3"/>
      <c r="C185" t="s">
        <v>13</v>
      </c>
      <c r="D185" s="16">
        <f>VLOOKUP(الحركات[[#This Row],[من صندوق]],Table5[],5,0)</f>
        <v>0</v>
      </c>
      <c r="E185" t="s">
        <v>14</v>
      </c>
      <c r="F185" s="16">
        <f>VLOOKUP(الحركات[[#This Row],[إلى صندوق]],Table5[[الصندوق]:[الرصيد الفعلي]],5,0)</f>
        <v>5025</v>
      </c>
      <c r="G185" s="16">
        <f>IF(VLOOKUP(الحركات[إلى صندوق],Table1[],3,0)=0,VLOOKUP(الحركات[[#This Row],[من صندوق]],Table1[[الصندوق]:[القيمة الشهرية]],3,0),VLOOKUP(الحركات[إلى صندوق],Table1[],3,0))</f>
        <v>3800</v>
      </c>
      <c r="H185" s="22">
        <v>3800</v>
      </c>
      <c r="I185" s="22"/>
      <c r="J185" t="s">
        <v>60</v>
      </c>
      <c r="L185" s="7" t="b">
        <f ca="1">AND(الحركات[[#This Row],[مدفوع من شهر]]&lt;=VALUE(TEXT($A$2,"YYYYMM")),الحركات[[#This Row],[الحالة]]="")</f>
        <v>0</v>
      </c>
      <c r="M185" s="7" t="str">
        <f>الحركات[من صندوق]&amp;"/"&amp;الحركات[إلى صندوق]</f>
        <v>مصاريف شهرية/صرف</v>
      </c>
      <c r="N185" s="7" t="str">
        <f>VLOOKUP(الحركات[من صندوق],Table1[],2,0)</f>
        <v>صرف</v>
      </c>
      <c r="O185" s="7" t="str">
        <f>VLOOKUP(الحركات[إلى صندوق],Table1[[الصندوق]:[نوعه]],2,0)</f>
        <v>خارجي</v>
      </c>
    </row>
    <row r="186" spans="1:15" x14ac:dyDescent="0.3">
      <c r="A186">
        <v>201809</v>
      </c>
      <c r="B186" s="3"/>
      <c r="C186" t="s">
        <v>0</v>
      </c>
      <c r="D186" s="16">
        <f>VLOOKUP(الحركات[[#This Row],[من صندوق]],Table5[],5,0)</f>
        <v>0</v>
      </c>
      <c r="E186" t="s">
        <v>14</v>
      </c>
      <c r="F186" s="16">
        <f>VLOOKUP(الحركات[[#This Row],[إلى صندوق]],Table5[[الصندوق]:[الرصيد الفعلي]],5,0)</f>
        <v>5025</v>
      </c>
      <c r="G186" s="16">
        <f>IF(VLOOKUP(الحركات[إلى صندوق],Table1[],3,0)=0,VLOOKUP(الحركات[[#This Row],[من صندوق]],Table1[[الصندوق]:[القيمة الشهرية]],3,0),VLOOKUP(الحركات[إلى صندوق],Table1[],3,0))</f>
        <v>500</v>
      </c>
      <c r="H186" s="22">
        <v>500</v>
      </c>
      <c r="I186" s="22"/>
      <c r="J186" t="s">
        <v>66</v>
      </c>
      <c r="L186" s="7" t="b">
        <f ca="1">AND(الحركات[[#This Row],[مدفوع من شهر]]&lt;=VALUE(TEXT($A$2,"YYYYMM")),الحركات[[#This Row],[الحالة]]="")</f>
        <v>0</v>
      </c>
      <c r="M186" s="7" t="str">
        <f>الحركات[من صندوق]&amp;"/"&amp;الحركات[إلى صندوق]</f>
        <v>توفير/صرف</v>
      </c>
      <c r="N186" s="7" t="str">
        <f>VLOOKUP(الحركات[من صندوق],Table1[],2,0)</f>
        <v>صرف</v>
      </c>
      <c r="O186" s="7" t="str">
        <f>VLOOKUP(الحركات[إلى صندوق],Table1[[الصندوق]:[نوعه]],2,0)</f>
        <v>خارجي</v>
      </c>
    </row>
    <row r="187" spans="1:15" x14ac:dyDescent="0.3">
      <c r="A187">
        <v>201809</v>
      </c>
      <c r="B187" s="3"/>
      <c r="C187" t="s">
        <v>15</v>
      </c>
      <c r="D187" s="17">
        <f>VLOOKUP(الحركات[[#This Row],[من صندوق]],Table5[],5,0)</f>
        <v>0</v>
      </c>
      <c r="E187" t="s">
        <v>14</v>
      </c>
      <c r="F187" s="17">
        <f>VLOOKUP(الحركات[[#This Row],[إلى صندوق]],Table5[[الصندوق]:[الرصيد الفعلي]],5,0)</f>
        <v>5025</v>
      </c>
      <c r="G187" s="17">
        <f>IF(VLOOKUP(الحركات[إلى صندوق],Table1[],3,0)=0,VLOOKUP(الحركات[[#This Row],[من صندوق]],Table1[[الصندوق]:[القيمة الشهرية]],3,0),VLOOKUP(الحركات[إلى صندوق],Table1[],3,0))</f>
        <v>285</v>
      </c>
      <c r="H187" s="22">
        <v>285</v>
      </c>
      <c r="I187" s="22"/>
      <c r="J187" t="s">
        <v>71</v>
      </c>
      <c r="L187" s="8" t="b">
        <f ca="1">AND(الحركات[[#This Row],[مدفوع من شهر]]&lt;=VALUE(TEXT($A$2,"YYYYMM")),الحركات[[#This Row],[الحالة]]="")</f>
        <v>0</v>
      </c>
      <c r="M187" s="8" t="str">
        <f>الحركات[من صندوق]&amp;"/"&amp;الحركات[إلى صندوق]</f>
        <v>ملابس/صرف</v>
      </c>
      <c r="N187" s="8" t="str">
        <f>VLOOKUP(الحركات[من صندوق],Table1[],2,0)</f>
        <v>صرف</v>
      </c>
      <c r="O187" s="8" t="str">
        <f>VLOOKUP(الحركات[إلى صندوق],Table1[[الصندوق]:[نوعه]],2,0)</f>
        <v>خارجي</v>
      </c>
    </row>
    <row r="188" spans="1:15" x14ac:dyDescent="0.3">
      <c r="A188">
        <v>201809</v>
      </c>
      <c r="B188" s="3"/>
      <c r="C188" t="s">
        <v>1</v>
      </c>
      <c r="D188" s="17">
        <f>VLOOKUP(الحركات[[#This Row],[من صندوق]],Table5[],5,0)</f>
        <v>0</v>
      </c>
      <c r="E188" t="s">
        <v>14</v>
      </c>
      <c r="F188" s="17">
        <f>VLOOKUP(الحركات[[#This Row],[إلى صندوق]],Table5[[الصندوق]:[الرصيد الفعلي]],5,0)</f>
        <v>5025</v>
      </c>
      <c r="G188" s="17">
        <f>IF(VLOOKUP(الحركات[إلى صندوق],Table1[],3,0)=0,VLOOKUP(الحركات[[#This Row],[من صندوق]],Table1[[الصندوق]:[القيمة الشهرية]],3,0),VLOOKUP(الحركات[إلى صندوق],Table1[],3,0))</f>
        <v>190</v>
      </c>
      <c r="H188" s="22">
        <v>190</v>
      </c>
      <c r="I188" s="22"/>
      <c r="J188" t="s">
        <v>72</v>
      </c>
      <c r="L188" s="8" t="b">
        <f ca="1">AND(الحركات[[#This Row],[مدفوع من شهر]]&lt;=VALUE(TEXT($A$2,"YYYYMM")),الحركات[[#This Row],[الحالة]]="")</f>
        <v>0</v>
      </c>
      <c r="M188" s="8" t="str">
        <f>الحركات[من صندوق]&amp;"/"&amp;الحركات[إلى صندوق]</f>
        <v>هدايا/صرف</v>
      </c>
      <c r="N188" s="8" t="str">
        <f>VLOOKUP(الحركات[من صندوق],Table1[],2,0)</f>
        <v>صرف</v>
      </c>
      <c r="O188" s="8" t="str">
        <f>VLOOKUP(الحركات[إلى صندوق],Table1[[الصندوق]:[نوعه]],2,0)</f>
        <v>خارجي</v>
      </c>
    </row>
    <row r="189" spans="1:15" x14ac:dyDescent="0.3">
      <c r="A189">
        <v>201809</v>
      </c>
      <c r="B189" s="3"/>
      <c r="C189" t="s">
        <v>12</v>
      </c>
      <c r="D189" s="19">
        <f>VLOOKUP(الحركات[[#This Row],[من صندوق]],Table5[],5,0)</f>
        <v>400</v>
      </c>
      <c r="E189" t="s">
        <v>21</v>
      </c>
      <c r="F189" s="19">
        <f>VLOOKUP(الحركات[[#This Row],[إلى صندوق]],Table5[[الصندوق]:[الرصيد الفعلي]],5,0)</f>
        <v>1500</v>
      </c>
      <c r="G189" s="19">
        <f>IF(VLOOKUP(الحركات[إلى صندوق],Table1[],3,0)=0,VLOOKUP(الحركات[[#This Row],[من صندوق]],Table1[[الصندوق]:[القيمة الشهرية]],3,0),VLOOKUP(الحركات[إلى صندوق],Table1[],3,0))</f>
        <v>1500</v>
      </c>
      <c r="H189" s="22">
        <v>600</v>
      </c>
      <c r="I189" s="22"/>
      <c r="J189" t="s">
        <v>89</v>
      </c>
      <c r="L189" s="12" t="b">
        <f ca="1">AND(الحركات[[#This Row],[مدفوع من شهر]]&lt;=VALUE(TEXT($A$2,"YYYYMM")),الحركات[[#This Row],[الحالة]]="")</f>
        <v>0</v>
      </c>
      <c r="M189" s="12" t="str">
        <f>الحركات[من صندوق]&amp;"/"&amp;الحركات[إلى صندوق]</f>
        <v>اجازات/ايجار المنزل</v>
      </c>
      <c r="N189" s="12" t="str">
        <f>VLOOKUP(الحركات[من صندوق],Table1[],2,0)</f>
        <v>صرف</v>
      </c>
      <c r="O189" s="12" t="str">
        <f>VLOOKUP(الحركات[إلى صندوق],Table1[[الصندوق]:[نوعه]],2,0)</f>
        <v>صرف</v>
      </c>
    </row>
    <row r="190" spans="1:15" x14ac:dyDescent="0.3">
      <c r="A190">
        <v>201809</v>
      </c>
      <c r="B190" s="3"/>
      <c r="C190" t="s">
        <v>12</v>
      </c>
      <c r="D190" s="20">
        <f>VLOOKUP(الحركات[[#This Row],[من صندوق]],Table5[],5,0)</f>
        <v>400</v>
      </c>
      <c r="E190" t="s">
        <v>22</v>
      </c>
      <c r="F190" s="20">
        <f>VLOOKUP(الحركات[[#This Row],[إلى صندوق]],Table5[[الصندوق]:[الرصيد الفعلي]],5,0)</f>
        <v>200</v>
      </c>
      <c r="G190" s="20">
        <f>IF(VLOOKUP(الحركات[إلى صندوق],Table1[],3,0)=0,VLOOKUP(الحركات[[#This Row],[من صندوق]],Table1[[الصندوق]:[القيمة الشهرية]],3,0),VLOOKUP(الحركات[إلى صندوق],Table1[],3,0))</f>
        <v>200</v>
      </c>
      <c r="H190" s="22">
        <v>200</v>
      </c>
      <c r="I190" s="22"/>
      <c r="J190" t="s">
        <v>89</v>
      </c>
      <c r="L190" s="13" t="b">
        <f ca="1">AND(الحركات[[#This Row],[مدفوع من شهر]]&lt;=VALUE(TEXT($A$2,"YYYYMM")),الحركات[[#This Row],[الحالة]]="")</f>
        <v>0</v>
      </c>
      <c r="M190" s="13" t="str">
        <f>الحركات[من صندوق]&amp;"/"&amp;الحركات[إلى صندوق]</f>
        <v>اجازات/زكاة</v>
      </c>
      <c r="N190" s="13" t="str">
        <f>VLOOKUP(الحركات[من صندوق],Table1[],2,0)</f>
        <v>صرف</v>
      </c>
      <c r="O190" s="13" t="str">
        <f>VLOOKUP(الحركات[إلى صندوق],Table1[[الصندوق]:[نوعه]],2,0)</f>
        <v>صرف</v>
      </c>
    </row>
    <row r="191" spans="1:15" x14ac:dyDescent="0.3">
      <c r="A191">
        <v>201810</v>
      </c>
      <c r="B191" s="3"/>
      <c r="C191" t="s">
        <v>20</v>
      </c>
      <c r="D191" s="15">
        <f>VLOOKUP(الحركات[[#This Row],[من صندوق]],Table5[],5,0)</f>
        <v>-10000</v>
      </c>
      <c r="E191" t="s">
        <v>18</v>
      </c>
      <c r="F191" s="15">
        <f>VLOOKUP(الحركات[[#This Row],[إلى صندوق]],Table5[[الصندوق]:[الرصيد الفعلي]],5,0)</f>
        <v>225</v>
      </c>
      <c r="G191" s="15">
        <f>IF(VLOOKUP(الحركات[إلى صندوق],Table1[],3,0)=0,VLOOKUP(الحركات[[#This Row],[من صندوق]],Table1[[الصندوق]:[القيمة الشهرية]],3,0),VLOOKUP(الحركات[إلى صندوق],Table1[],3,0))</f>
        <v>10000</v>
      </c>
      <c r="H191" s="22">
        <v>10000</v>
      </c>
      <c r="I191" s="22"/>
      <c r="J191" t="s">
        <v>40</v>
      </c>
      <c r="L191" s="2" t="b">
        <f ca="1">AND(الحركات[[#This Row],[مدفوع من شهر]]&lt;=VALUE(TEXT($A$2,"YYYYMM")),الحركات[[#This Row],[الحالة]]="")</f>
        <v>0</v>
      </c>
      <c r="M191" s="2" t="str">
        <f>الحركات[من صندوق]&amp;"/"&amp;الحركات[إلى صندوق]</f>
        <v>الشركة/الراتب</v>
      </c>
      <c r="N191" s="2" t="str">
        <f>VLOOKUP(الحركات[من صندوق],Table1[],2,0)</f>
        <v>خارجي</v>
      </c>
      <c r="O191" s="2" t="str">
        <f>VLOOKUP(الحركات[إلى صندوق],Table1[[الصندوق]:[نوعه]],2,0)</f>
        <v>دخل</v>
      </c>
    </row>
    <row r="192" spans="1:15" x14ac:dyDescent="0.3">
      <c r="A192">
        <v>201810</v>
      </c>
      <c r="B192" s="3"/>
      <c r="C192" t="s">
        <v>18</v>
      </c>
      <c r="D192" s="15">
        <f>VLOOKUP(الحركات[[#This Row],[من صندوق]],Table5[],5,0)</f>
        <v>225</v>
      </c>
      <c r="E192" t="s">
        <v>11</v>
      </c>
      <c r="F192" s="15">
        <f>VLOOKUP(الحركات[[#This Row],[إلى صندوق]],Table5[[الصندوق]:[الرصيد الفعلي]],5,0)</f>
        <v>0</v>
      </c>
      <c r="G192" s="15">
        <f>IF(VLOOKUP(الحركات[إلى صندوق],Table1[],3,0)=0,VLOOKUP(الحركات[[#This Row],[من صندوق]],Table1[[الصندوق]:[القيمة الشهرية]],3,0),VLOOKUP(الحركات[إلى صندوق],Table1[],3,0))</f>
        <v>250</v>
      </c>
      <c r="H192" s="22">
        <v>250</v>
      </c>
      <c r="I192" s="22"/>
      <c r="J192" t="s">
        <v>47</v>
      </c>
      <c r="L192" s="2" t="b">
        <f ca="1">AND(الحركات[[#This Row],[مدفوع من شهر]]&lt;=VALUE(TEXT($A$2,"YYYYMM")),الحركات[[#This Row],[الحالة]]="")</f>
        <v>0</v>
      </c>
      <c r="M192" s="2" t="str">
        <f>الحركات[من صندوق]&amp;"/"&amp;الحركات[إلى صندوق]</f>
        <v>الراتب/فواتير</v>
      </c>
      <c r="N192" s="2" t="str">
        <f>VLOOKUP(الحركات[من صندوق],Table1[],2,0)</f>
        <v>دخل</v>
      </c>
      <c r="O192" s="2" t="str">
        <f>VLOOKUP(الحركات[إلى صندوق],Table1[[الصندوق]:[نوعه]],2,0)</f>
        <v>صرف</v>
      </c>
    </row>
    <row r="193" spans="1:15" x14ac:dyDescent="0.3">
      <c r="A193">
        <v>201810</v>
      </c>
      <c r="B193" s="3"/>
      <c r="C193" t="s">
        <v>18</v>
      </c>
      <c r="D193" s="15">
        <f>VLOOKUP(الحركات[[#This Row],[من صندوق]],Table5[],5,0)</f>
        <v>225</v>
      </c>
      <c r="E193" t="s">
        <v>13</v>
      </c>
      <c r="F193" s="15">
        <f>VLOOKUP(الحركات[[#This Row],[إلى صندوق]],Table5[[الصندوق]:[الرصيد الفعلي]],5,0)</f>
        <v>0</v>
      </c>
      <c r="G193" s="15">
        <f>IF(VLOOKUP(الحركات[إلى صندوق],Table1[],3,0)=0,VLOOKUP(الحركات[[#This Row],[من صندوق]],Table1[[الصندوق]:[القيمة الشهرية]],3,0),VLOOKUP(الحركات[إلى صندوق],Table1[],3,0))</f>
        <v>3800</v>
      </c>
      <c r="H193" s="22">
        <v>3800</v>
      </c>
      <c r="I193" s="22"/>
      <c r="J193" t="s">
        <v>48</v>
      </c>
      <c r="L193" s="2" t="b">
        <f ca="1">AND(الحركات[[#This Row],[مدفوع من شهر]]&lt;=VALUE(TEXT($A$2,"YYYYMM")),الحركات[[#This Row],[الحالة]]="")</f>
        <v>0</v>
      </c>
      <c r="M193" s="2" t="str">
        <f>الحركات[من صندوق]&amp;"/"&amp;الحركات[إلى صندوق]</f>
        <v>الراتب/مصاريف شهرية</v>
      </c>
      <c r="N193" s="2" t="str">
        <f>VLOOKUP(الحركات[من صندوق],Table1[],2,0)</f>
        <v>دخل</v>
      </c>
      <c r="O193" s="2" t="str">
        <f>VLOOKUP(الحركات[إلى صندوق],Table1[[الصندوق]:[نوعه]],2,0)</f>
        <v>صرف</v>
      </c>
    </row>
    <row r="194" spans="1:15" x14ac:dyDescent="0.3">
      <c r="A194">
        <v>201810</v>
      </c>
      <c r="B194" s="3"/>
      <c r="C194" t="s">
        <v>18</v>
      </c>
      <c r="D194" s="15">
        <f>VLOOKUP(الحركات[[#This Row],[من صندوق]],Table5[],5,0)</f>
        <v>225</v>
      </c>
      <c r="E194" t="s">
        <v>3</v>
      </c>
      <c r="F194" s="15">
        <f>VLOOKUP(الحركات[[#This Row],[إلى صندوق]],Table5[[الصندوق]:[الرصيد الفعلي]],5,0)</f>
        <v>2000</v>
      </c>
      <c r="G194" s="15">
        <f>IF(VLOOKUP(الحركات[إلى صندوق],Table1[],3,0)=0,VLOOKUP(الحركات[[#This Row],[من صندوق]],Table1[[الصندوق]:[القيمة الشهرية]],3,0),VLOOKUP(الحركات[إلى صندوق],Table1[],3,0))</f>
        <v>2000</v>
      </c>
      <c r="H194" s="22">
        <v>2000</v>
      </c>
      <c r="I194" s="22"/>
      <c r="J194" t="s">
        <v>49</v>
      </c>
      <c r="L194" s="2" t="b">
        <f ca="1">AND(الحركات[[#This Row],[مدفوع من شهر]]&lt;=VALUE(TEXT($A$2,"YYYYMM")),الحركات[[#This Row],[الحالة]]="")</f>
        <v>0</v>
      </c>
      <c r="M194" s="2" t="str">
        <f>الحركات[من صندوق]&amp;"/"&amp;الحركات[إلى صندوق]</f>
        <v>الراتب/مدارس</v>
      </c>
      <c r="N194" s="2" t="str">
        <f>VLOOKUP(الحركات[من صندوق],Table1[],2,0)</f>
        <v>دخل</v>
      </c>
      <c r="O194" s="2" t="str">
        <f>VLOOKUP(الحركات[إلى صندوق],Table1[[الصندوق]:[نوعه]],2,0)</f>
        <v>صرف</v>
      </c>
    </row>
    <row r="195" spans="1:15" x14ac:dyDescent="0.3">
      <c r="A195">
        <v>201810</v>
      </c>
      <c r="B195" s="3"/>
      <c r="C195" t="s">
        <v>18</v>
      </c>
      <c r="D195" s="15">
        <f>VLOOKUP(الحركات[[#This Row],[من صندوق]],Table5[],5,0)</f>
        <v>225</v>
      </c>
      <c r="E195" t="s">
        <v>21</v>
      </c>
      <c r="F195" s="15">
        <f>VLOOKUP(الحركات[[#This Row],[إلى صندوق]],Table5[[الصندوق]:[الرصيد الفعلي]],5,0)</f>
        <v>1500</v>
      </c>
      <c r="G195" s="15">
        <f>IF(VLOOKUP(الحركات[إلى صندوق],Table1[],3,0)=0,VLOOKUP(الحركات[[#This Row],[من صندوق]],Table1[[الصندوق]:[القيمة الشهرية]],3,0),VLOOKUP(الحركات[إلى صندوق],Table1[],3,0))</f>
        <v>1500</v>
      </c>
      <c r="H195" s="22">
        <v>1500</v>
      </c>
      <c r="I195" s="22"/>
      <c r="J195" t="s">
        <v>50</v>
      </c>
      <c r="L195" s="2" t="b">
        <f ca="1">AND(الحركات[[#This Row],[مدفوع من شهر]]&lt;=VALUE(TEXT($A$2,"YYYYMM")),الحركات[[#This Row],[الحالة]]="")</f>
        <v>0</v>
      </c>
      <c r="M195" s="2" t="str">
        <f>الحركات[من صندوق]&amp;"/"&amp;الحركات[إلى صندوق]</f>
        <v>الراتب/ايجار المنزل</v>
      </c>
      <c r="N195" s="2" t="str">
        <f>VLOOKUP(الحركات[من صندوق],Table1[],2,0)</f>
        <v>دخل</v>
      </c>
      <c r="O195" s="2" t="str">
        <f>VLOOKUP(الحركات[إلى صندوق],Table1[[الصندوق]:[نوعه]],2,0)</f>
        <v>صرف</v>
      </c>
    </row>
    <row r="196" spans="1:15" x14ac:dyDescent="0.3">
      <c r="A196">
        <v>201810</v>
      </c>
      <c r="B196" s="3"/>
      <c r="C196" t="s">
        <v>18</v>
      </c>
      <c r="D196" s="15">
        <f>VLOOKUP(الحركات[[#This Row],[من صندوق]],Table5[],5,0)</f>
        <v>225</v>
      </c>
      <c r="E196" t="s">
        <v>0</v>
      </c>
      <c r="F196" s="15">
        <f>VLOOKUP(الحركات[[#This Row],[إلى صندوق]],Table5[[الصندوق]:[الرصيد الفعلي]],5,0)</f>
        <v>0</v>
      </c>
      <c r="G196" s="15">
        <f>IF(VLOOKUP(الحركات[إلى صندوق],Table1[],3,0)=0,VLOOKUP(الحركات[[#This Row],[من صندوق]],Table1[[الصندوق]:[القيمة الشهرية]],3,0),VLOOKUP(الحركات[إلى صندوق],Table1[],3,0))</f>
        <v>500</v>
      </c>
      <c r="H196" s="22">
        <v>500</v>
      </c>
      <c r="I196" s="22"/>
      <c r="J196" t="s">
        <v>51</v>
      </c>
      <c r="L196" s="2" t="b">
        <f ca="1">AND(الحركات[[#This Row],[مدفوع من شهر]]&lt;=VALUE(TEXT($A$2,"YYYYMM")),الحركات[[#This Row],[الحالة]]="")</f>
        <v>0</v>
      </c>
      <c r="M196" s="2" t="str">
        <f>الحركات[من صندوق]&amp;"/"&amp;الحركات[إلى صندوق]</f>
        <v>الراتب/توفير</v>
      </c>
      <c r="N196" s="2" t="str">
        <f>VLOOKUP(الحركات[من صندوق],Table1[],2,0)</f>
        <v>دخل</v>
      </c>
      <c r="O196" s="2" t="str">
        <f>VLOOKUP(الحركات[إلى صندوق],Table1[[الصندوق]:[نوعه]],2,0)</f>
        <v>صرف</v>
      </c>
    </row>
    <row r="197" spans="1:15" x14ac:dyDescent="0.3">
      <c r="A197">
        <v>201810</v>
      </c>
      <c r="B197" s="3"/>
      <c r="C197" t="s">
        <v>18</v>
      </c>
      <c r="D197" s="15">
        <f>VLOOKUP(الحركات[[#This Row],[من صندوق]],Table5[],5,0)</f>
        <v>225</v>
      </c>
      <c r="E197" t="s">
        <v>12</v>
      </c>
      <c r="F197" s="15">
        <f>VLOOKUP(الحركات[[#This Row],[إلى صندوق]],Table5[[الصندوق]:[الرصيد الفعلي]],5,0)</f>
        <v>400</v>
      </c>
      <c r="G197" s="15">
        <f>IF(VLOOKUP(الحركات[إلى صندوق],Table1[],3,0)=0,VLOOKUP(الحركات[[#This Row],[من صندوق]],Table1[[الصندوق]:[القيمة الشهرية]],3,0),VLOOKUP(الحركات[إلى صندوق],Table1[],3,0))</f>
        <v>400</v>
      </c>
      <c r="H197" s="22">
        <v>400</v>
      </c>
      <c r="I197" s="22"/>
      <c r="J197" t="s">
        <v>52</v>
      </c>
      <c r="L197" s="2" t="b">
        <f ca="1">AND(الحركات[[#This Row],[مدفوع من شهر]]&lt;=VALUE(TEXT($A$2,"YYYYMM")),الحركات[[#This Row],[الحالة]]="")</f>
        <v>0</v>
      </c>
      <c r="M197" s="2" t="str">
        <f>الحركات[من صندوق]&amp;"/"&amp;الحركات[إلى صندوق]</f>
        <v>الراتب/اجازات</v>
      </c>
      <c r="N197" s="2" t="str">
        <f>VLOOKUP(الحركات[من صندوق],Table1[],2,0)</f>
        <v>دخل</v>
      </c>
      <c r="O197" s="2" t="str">
        <f>VLOOKUP(الحركات[إلى صندوق],Table1[[الصندوق]:[نوعه]],2,0)</f>
        <v>صرف</v>
      </c>
    </row>
    <row r="198" spans="1:15" x14ac:dyDescent="0.3">
      <c r="A198">
        <v>201810</v>
      </c>
      <c r="B198" s="3"/>
      <c r="C198" t="s">
        <v>18</v>
      </c>
      <c r="D198" s="15">
        <f>VLOOKUP(الحركات[[#This Row],[من صندوق]],Table5[],5,0)</f>
        <v>225</v>
      </c>
      <c r="E198" t="s">
        <v>9</v>
      </c>
      <c r="F198" s="15">
        <f>VLOOKUP(الحركات[[#This Row],[إلى صندوق]],Table5[[الصندوق]:[الرصيد الفعلي]],5,0)</f>
        <v>200</v>
      </c>
      <c r="G198" s="15">
        <f>IF(VLOOKUP(الحركات[إلى صندوق],Table1[],3,0)=0,VLOOKUP(الحركات[[#This Row],[من صندوق]],Table1[[الصندوق]:[القيمة الشهرية]],3,0),VLOOKUP(الحركات[إلى صندوق],Table1[],3,0))</f>
        <v>200</v>
      </c>
      <c r="H198" s="22">
        <v>200</v>
      </c>
      <c r="I198" s="22"/>
      <c r="J198" t="s">
        <v>53</v>
      </c>
      <c r="L198" s="2" t="b">
        <f ca="1">AND(الحركات[[#This Row],[مدفوع من شهر]]&lt;=VALUE(TEXT($A$2,"YYYYMM")),الحركات[[#This Row],[الحالة]]="")</f>
        <v>0</v>
      </c>
      <c r="M198" s="2" t="str">
        <f>الحركات[من صندوق]&amp;"/"&amp;الحركات[إلى صندوق]</f>
        <v>الراتب/دورات</v>
      </c>
      <c r="N198" s="2" t="str">
        <f>VLOOKUP(الحركات[من صندوق],Table1[],2,0)</f>
        <v>دخل</v>
      </c>
      <c r="O198" s="2" t="str">
        <f>VLOOKUP(الحركات[إلى صندوق],Table1[[الصندوق]:[نوعه]],2,0)</f>
        <v>صرف</v>
      </c>
    </row>
    <row r="199" spans="1:15" x14ac:dyDescent="0.3">
      <c r="A199">
        <v>201810</v>
      </c>
      <c r="B199" s="3"/>
      <c r="C199" t="s">
        <v>18</v>
      </c>
      <c r="D199" s="15">
        <f>VLOOKUP(الحركات[[#This Row],[من صندوق]],Table5[],5,0)</f>
        <v>225</v>
      </c>
      <c r="E199" t="s">
        <v>22</v>
      </c>
      <c r="F199" s="15">
        <f>VLOOKUP(الحركات[[#This Row],[إلى صندوق]],Table5[[الصندوق]:[الرصيد الفعلي]],5,0)</f>
        <v>200</v>
      </c>
      <c r="G199" s="15">
        <f>IF(VLOOKUP(الحركات[إلى صندوق],Table1[],3,0)=0,VLOOKUP(الحركات[[#This Row],[من صندوق]],Table1[[الصندوق]:[القيمة الشهرية]],3,0),VLOOKUP(الحركات[إلى صندوق],Table1[],3,0))</f>
        <v>200</v>
      </c>
      <c r="H199" s="22">
        <v>200</v>
      </c>
      <c r="I199" s="22"/>
      <c r="J199" t="s">
        <v>54</v>
      </c>
      <c r="L199" s="2" t="b">
        <f ca="1">AND(الحركات[[#This Row],[مدفوع من شهر]]&lt;=VALUE(TEXT($A$2,"YYYYMM")),الحركات[[#This Row],[الحالة]]="")</f>
        <v>0</v>
      </c>
      <c r="M199" s="2" t="str">
        <f>الحركات[من صندوق]&amp;"/"&amp;الحركات[إلى صندوق]</f>
        <v>الراتب/زكاة</v>
      </c>
      <c r="N199" s="2" t="str">
        <f>VLOOKUP(الحركات[من صندوق],Table1[],2,0)</f>
        <v>دخل</v>
      </c>
      <c r="O199" s="2" t="str">
        <f>VLOOKUP(الحركات[إلى صندوق],Table1[[الصندوق]:[نوعه]],2,0)</f>
        <v>صرف</v>
      </c>
    </row>
    <row r="200" spans="1:15" x14ac:dyDescent="0.3">
      <c r="A200">
        <v>201810</v>
      </c>
      <c r="B200" s="3"/>
      <c r="C200" t="s">
        <v>18</v>
      </c>
      <c r="D200" s="15">
        <f>VLOOKUP(الحركات[[#This Row],[من صندوق]],Table5[],5,0)</f>
        <v>225</v>
      </c>
      <c r="E200" t="s">
        <v>10</v>
      </c>
      <c r="F200" s="15">
        <f>VLOOKUP(الحركات[[#This Row],[إلى صندوق]],Table5[[الصندوق]:[الرصيد الفعلي]],5,0)</f>
        <v>250</v>
      </c>
      <c r="G200" s="15">
        <f>IF(VLOOKUP(الحركات[إلى صندوق],Table1[],3,0)=0,VLOOKUP(الحركات[[#This Row],[من صندوق]],Table1[[الصندوق]:[القيمة الشهرية]],3,0),VLOOKUP(الحركات[إلى صندوق],Table1[],3,0))</f>
        <v>250</v>
      </c>
      <c r="H200" s="22">
        <v>250</v>
      </c>
      <c r="I200" s="22"/>
      <c r="J200" t="s">
        <v>55</v>
      </c>
      <c r="L200" s="2" t="b">
        <f ca="1">AND(الحركات[[#This Row],[مدفوع من شهر]]&lt;=VALUE(TEXT($A$2,"YYYYMM")),الحركات[[#This Row],[الحالة]]="")</f>
        <v>0</v>
      </c>
      <c r="M200" s="2" t="str">
        <f>الحركات[من صندوق]&amp;"/"&amp;الحركات[إلى صندوق]</f>
        <v>الراتب/صيانة السيارة</v>
      </c>
      <c r="N200" s="2" t="str">
        <f>VLOOKUP(الحركات[من صندوق],Table1[],2,0)</f>
        <v>دخل</v>
      </c>
      <c r="O200" s="2" t="str">
        <f>VLOOKUP(الحركات[إلى صندوق],Table1[[الصندوق]:[نوعه]],2,0)</f>
        <v>صرف</v>
      </c>
    </row>
    <row r="201" spans="1:15" x14ac:dyDescent="0.3">
      <c r="A201">
        <v>201810</v>
      </c>
      <c r="B201" s="3"/>
      <c r="C201" t="s">
        <v>18</v>
      </c>
      <c r="D201" s="15">
        <f>VLOOKUP(الحركات[[#This Row],[من صندوق]],Table5[],5,0)</f>
        <v>225</v>
      </c>
      <c r="E201" t="s">
        <v>15</v>
      </c>
      <c r="F201" s="15">
        <f>VLOOKUP(الحركات[[#This Row],[إلى صندوق]],Table5[[الصندوق]:[الرصيد الفعلي]],5,0)</f>
        <v>0</v>
      </c>
      <c r="G201" s="15">
        <f>IF(VLOOKUP(الحركات[إلى صندوق],Table1[],3,0)=0,VLOOKUP(الحركات[[#This Row],[من صندوق]],Table1[[الصندوق]:[القيمة الشهرية]],3,0),VLOOKUP(الحركات[إلى صندوق],Table1[],3,0))</f>
        <v>285</v>
      </c>
      <c r="H201" s="22">
        <v>285</v>
      </c>
      <c r="I201" s="22"/>
      <c r="J201" t="s">
        <v>56</v>
      </c>
      <c r="L201" s="2" t="b">
        <f ca="1">AND(الحركات[[#This Row],[مدفوع من شهر]]&lt;=VALUE(TEXT($A$2,"YYYYMM")),الحركات[[#This Row],[الحالة]]="")</f>
        <v>0</v>
      </c>
      <c r="M201" s="2" t="str">
        <f>الحركات[من صندوق]&amp;"/"&amp;الحركات[إلى صندوق]</f>
        <v>الراتب/ملابس</v>
      </c>
      <c r="N201" s="2" t="str">
        <f>VLOOKUP(الحركات[من صندوق],Table1[],2,0)</f>
        <v>دخل</v>
      </c>
      <c r="O201" s="2" t="str">
        <f>VLOOKUP(الحركات[إلى صندوق],Table1[[الصندوق]:[نوعه]],2,0)</f>
        <v>صرف</v>
      </c>
    </row>
    <row r="202" spans="1:15" x14ac:dyDescent="0.3">
      <c r="A202">
        <v>201810</v>
      </c>
      <c r="B202" s="3"/>
      <c r="C202" t="s">
        <v>18</v>
      </c>
      <c r="D202" s="15">
        <f>VLOOKUP(الحركات[[#This Row],[من صندوق]],Table5[],5,0)</f>
        <v>225</v>
      </c>
      <c r="E202" t="s">
        <v>1</v>
      </c>
      <c r="F202" s="15">
        <f>VLOOKUP(الحركات[[#This Row],[إلى صندوق]],Table5[[الصندوق]:[الرصيد الفعلي]],5,0)</f>
        <v>0</v>
      </c>
      <c r="G202" s="15">
        <f>IF(VLOOKUP(الحركات[إلى صندوق],Table1[],3,0)=0,VLOOKUP(الحركات[[#This Row],[من صندوق]],Table1[[الصندوق]:[القيمة الشهرية]],3,0),VLOOKUP(الحركات[إلى صندوق],Table1[],3,0))</f>
        <v>190</v>
      </c>
      <c r="H202" s="22">
        <v>190</v>
      </c>
      <c r="I202" s="22"/>
      <c r="J202" t="s">
        <v>57</v>
      </c>
      <c r="L202" s="2" t="b">
        <f ca="1">AND(الحركات[[#This Row],[مدفوع من شهر]]&lt;=VALUE(TEXT($A$2,"YYYYMM")),الحركات[[#This Row],[الحالة]]="")</f>
        <v>0</v>
      </c>
      <c r="M202" s="2" t="str">
        <f>الحركات[من صندوق]&amp;"/"&amp;الحركات[إلى صندوق]</f>
        <v>الراتب/هدايا</v>
      </c>
      <c r="N202" s="2" t="str">
        <f>VLOOKUP(الحركات[من صندوق],Table1[],2,0)</f>
        <v>دخل</v>
      </c>
      <c r="O202" s="2" t="str">
        <f>VLOOKUP(الحركات[إلى صندوق],Table1[[الصندوق]:[نوعه]],2,0)</f>
        <v>صرف</v>
      </c>
    </row>
    <row r="203" spans="1:15" x14ac:dyDescent="0.3">
      <c r="A203">
        <v>201810</v>
      </c>
      <c r="B203" s="3"/>
      <c r="C203" t="s">
        <v>18</v>
      </c>
      <c r="D203" s="15">
        <f>VLOOKUP(الحركات[[#This Row],[من صندوق]],Table5[],5,0)</f>
        <v>225</v>
      </c>
      <c r="E203" t="s">
        <v>4</v>
      </c>
      <c r="F203" s="15">
        <f>VLOOKUP(الحركات[[#This Row],[إلى صندوق]],Table5[[الصندوق]:[الرصيد الفعلي]],5,0)</f>
        <v>200</v>
      </c>
      <c r="G203" s="15">
        <f>IF(VLOOKUP(الحركات[إلى صندوق],Table1[],3,0)=0,VLOOKUP(الحركات[[#This Row],[من صندوق]],Table1[[الصندوق]:[القيمة الشهرية]],3,0),VLOOKUP(الحركات[إلى صندوق],Table1[],3,0))</f>
        <v>200</v>
      </c>
      <c r="H203" s="22">
        <v>200</v>
      </c>
      <c r="I203" s="22"/>
      <c r="J203" t="s">
        <v>58</v>
      </c>
      <c r="L203" s="2" t="b">
        <f ca="1">AND(الحركات[[#This Row],[مدفوع من شهر]]&lt;=VALUE(TEXT($A$2,"YYYYMM")),الحركات[[#This Row],[الحالة]]="")</f>
        <v>0</v>
      </c>
      <c r="M203" s="2" t="str">
        <f>الحركات[من صندوق]&amp;"/"&amp;الحركات[إلى صندوق]</f>
        <v>الراتب/طوارئ</v>
      </c>
      <c r="N203" s="2" t="str">
        <f>VLOOKUP(الحركات[من صندوق],Table1[],2,0)</f>
        <v>دخل</v>
      </c>
      <c r="O203" s="2" t="str">
        <f>VLOOKUP(الحركات[إلى صندوق],Table1[[الصندوق]:[نوعه]],2,0)</f>
        <v>صرف</v>
      </c>
    </row>
    <row r="204" spans="1:15" x14ac:dyDescent="0.3">
      <c r="A204">
        <v>201810</v>
      </c>
      <c r="B204" s="3"/>
      <c r="C204" t="s">
        <v>11</v>
      </c>
      <c r="D204" s="16">
        <f>VLOOKUP(الحركات[[#This Row],[من صندوق]],Table5[],5,0)</f>
        <v>0</v>
      </c>
      <c r="E204" t="s">
        <v>14</v>
      </c>
      <c r="F204" s="16">
        <f>VLOOKUP(الحركات[[#This Row],[إلى صندوق]],Table5[[الصندوق]:[الرصيد الفعلي]],5,0)</f>
        <v>5025</v>
      </c>
      <c r="G204" s="16">
        <f>IF(VLOOKUP(الحركات[إلى صندوق],Table1[],3,0)=0,VLOOKUP(الحركات[[#This Row],[من صندوق]],Table1[[الصندوق]:[القيمة الشهرية]],3,0),VLOOKUP(الحركات[إلى صندوق],Table1[],3,0))</f>
        <v>250</v>
      </c>
      <c r="H204" s="22">
        <v>250</v>
      </c>
      <c r="I204" s="22"/>
      <c r="J204" t="s">
        <v>59</v>
      </c>
      <c r="L204" s="7" t="b">
        <f ca="1">AND(الحركات[[#This Row],[مدفوع من شهر]]&lt;=VALUE(TEXT($A$2,"YYYYMM")),الحركات[[#This Row],[الحالة]]="")</f>
        <v>0</v>
      </c>
      <c r="M204" s="7" t="str">
        <f>الحركات[من صندوق]&amp;"/"&amp;الحركات[إلى صندوق]</f>
        <v>فواتير/صرف</v>
      </c>
      <c r="N204" s="7" t="str">
        <f>VLOOKUP(الحركات[من صندوق],Table1[],2,0)</f>
        <v>صرف</v>
      </c>
      <c r="O204" s="7" t="str">
        <f>VLOOKUP(الحركات[إلى صندوق],Table1[[الصندوق]:[نوعه]],2,0)</f>
        <v>خارجي</v>
      </c>
    </row>
    <row r="205" spans="1:15" x14ac:dyDescent="0.3">
      <c r="A205">
        <v>201810</v>
      </c>
      <c r="B205" s="3"/>
      <c r="C205" t="s">
        <v>13</v>
      </c>
      <c r="D205" s="16">
        <f>VLOOKUP(الحركات[[#This Row],[من صندوق]],Table5[],5,0)</f>
        <v>0</v>
      </c>
      <c r="E205" t="s">
        <v>14</v>
      </c>
      <c r="F205" s="16">
        <f>VLOOKUP(الحركات[[#This Row],[إلى صندوق]],Table5[[الصندوق]:[الرصيد الفعلي]],5,0)</f>
        <v>5025</v>
      </c>
      <c r="G205" s="16">
        <f>IF(VLOOKUP(الحركات[إلى صندوق],Table1[],3,0)=0,VLOOKUP(الحركات[[#This Row],[من صندوق]],Table1[[الصندوق]:[القيمة الشهرية]],3,0),VLOOKUP(الحركات[إلى صندوق],Table1[],3,0))</f>
        <v>3800</v>
      </c>
      <c r="H205" s="22">
        <v>3800</v>
      </c>
      <c r="I205" s="22"/>
      <c r="J205" t="s">
        <v>60</v>
      </c>
      <c r="L205" s="7" t="b">
        <f ca="1">AND(الحركات[[#This Row],[مدفوع من شهر]]&lt;=VALUE(TEXT($A$2,"YYYYMM")),الحركات[[#This Row],[الحالة]]="")</f>
        <v>0</v>
      </c>
      <c r="M205" s="7" t="str">
        <f>الحركات[من صندوق]&amp;"/"&amp;الحركات[إلى صندوق]</f>
        <v>مصاريف شهرية/صرف</v>
      </c>
      <c r="N205" s="7" t="str">
        <f>VLOOKUP(الحركات[من صندوق],Table1[],2,0)</f>
        <v>صرف</v>
      </c>
      <c r="O205" s="7" t="str">
        <f>VLOOKUP(الحركات[إلى صندوق],Table1[[الصندوق]:[نوعه]],2,0)</f>
        <v>خارجي</v>
      </c>
    </row>
    <row r="206" spans="1:15" x14ac:dyDescent="0.3">
      <c r="A206">
        <v>201810</v>
      </c>
      <c r="B206" s="3"/>
      <c r="C206" t="s">
        <v>21</v>
      </c>
      <c r="D206" s="16">
        <f>VLOOKUP(الحركات[[#This Row],[من صندوق]],Table5[],5,0)</f>
        <v>1500</v>
      </c>
      <c r="E206" t="s">
        <v>14</v>
      </c>
      <c r="F206" s="16">
        <f>VLOOKUP(الحركات[[#This Row],[إلى صندوق]],Table5[[الصندوق]:[الرصيد الفعلي]],5,0)</f>
        <v>5025</v>
      </c>
      <c r="G206" s="16">
        <f>IF(VLOOKUP(الحركات[إلى صندوق],Table1[],3,0)=0,VLOOKUP(الحركات[[#This Row],[من صندوق]],Table1[[الصندوق]:[القيمة الشهرية]],3,0),VLOOKUP(الحركات[إلى صندوق],Table1[],3,0))</f>
        <v>1500</v>
      </c>
      <c r="H206" s="22">
        <v>9000</v>
      </c>
      <c r="I206" s="22"/>
      <c r="J206" t="s">
        <v>65</v>
      </c>
      <c r="L206" s="7" t="b">
        <f ca="1">AND(الحركات[[#This Row],[مدفوع من شهر]]&lt;=VALUE(TEXT($A$2,"YYYYMM")),الحركات[[#This Row],[الحالة]]="")</f>
        <v>0</v>
      </c>
      <c r="M206" s="7" t="str">
        <f>الحركات[من صندوق]&amp;"/"&amp;الحركات[إلى صندوق]</f>
        <v>ايجار المنزل/صرف</v>
      </c>
      <c r="N206" s="7" t="str">
        <f>VLOOKUP(الحركات[من صندوق],Table1[],2,0)</f>
        <v>صرف</v>
      </c>
      <c r="O206" s="7" t="str">
        <f>VLOOKUP(الحركات[إلى صندوق],Table1[[الصندوق]:[نوعه]],2,0)</f>
        <v>خارجي</v>
      </c>
    </row>
    <row r="207" spans="1:15" x14ac:dyDescent="0.3">
      <c r="A207">
        <v>201810</v>
      </c>
      <c r="B207" s="3"/>
      <c r="C207" t="s">
        <v>0</v>
      </c>
      <c r="D207" s="16">
        <f>VLOOKUP(الحركات[[#This Row],[من صندوق]],Table5[],5,0)</f>
        <v>0</v>
      </c>
      <c r="E207" t="s">
        <v>14</v>
      </c>
      <c r="F207" s="16">
        <f>VLOOKUP(الحركات[[#This Row],[إلى صندوق]],Table5[[الصندوق]:[الرصيد الفعلي]],5,0)</f>
        <v>5025</v>
      </c>
      <c r="G207" s="16">
        <f>IF(VLOOKUP(الحركات[إلى صندوق],Table1[],3,0)=0,VLOOKUP(الحركات[[#This Row],[من صندوق]],Table1[[الصندوق]:[القيمة الشهرية]],3,0),VLOOKUP(الحركات[إلى صندوق],Table1[],3,0))</f>
        <v>500</v>
      </c>
      <c r="H207" s="22">
        <v>500</v>
      </c>
      <c r="I207" s="22"/>
      <c r="J207" t="s">
        <v>66</v>
      </c>
      <c r="L207" s="7" t="b">
        <f ca="1">AND(الحركات[[#This Row],[مدفوع من شهر]]&lt;=VALUE(TEXT($A$2,"YYYYMM")),الحركات[[#This Row],[الحالة]]="")</f>
        <v>0</v>
      </c>
      <c r="M207" s="7" t="str">
        <f>الحركات[من صندوق]&amp;"/"&amp;الحركات[إلى صندوق]</f>
        <v>توفير/صرف</v>
      </c>
      <c r="N207" s="7" t="str">
        <f>VLOOKUP(الحركات[من صندوق],Table1[],2,0)</f>
        <v>صرف</v>
      </c>
      <c r="O207" s="7" t="str">
        <f>VLOOKUP(الحركات[إلى صندوق],Table1[[الصندوق]:[نوعه]],2,0)</f>
        <v>خارجي</v>
      </c>
    </row>
    <row r="208" spans="1:15" x14ac:dyDescent="0.3">
      <c r="A208">
        <v>201810</v>
      </c>
      <c r="B208" s="3"/>
      <c r="C208" t="s">
        <v>9</v>
      </c>
      <c r="D208" s="17">
        <f>VLOOKUP(الحركات[[#This Row],[من صندوق]],Table5[],5,0)</f>
        <v>200</v>
      </c>
      <c r="E208" t="s">
        <v>14</v>
      </c>
      <c r="F208" s="17">
        <f>VLOOKUP(الحركات[[#This Row],[إلى صندوق]],Table5[[الصندوق]:[الرصيد الفعلي]],5,0)</f>
        <v>5025</v>
      </c>
      <c r="G208" s="17">
        <f>IF(VLOOKUP(الحركات[إلى صندوق],Table1[],3,0)=0,VLOOKUP(الحركات[[#This Row],[من صندوق]],Table1[[الصندوق]:[القيمة الشهرية]],3,0),VLOOKUP(الحركات[إلى صندوق],Table1[],3,0))</f>
        <v>200</v>
      </c>
      <c r="H208" s="22">
        <v>2400</v>
      </c>
      <c r="I208" s="22"/>
      <c r="J208" t="s">
        <v>68</v>
      </c>
      <c r="L208" s="8" t="b">
        <f ca="1">AND(الحركات[[#This Row],[مدفوع من شهر]]&lt;=VALUE(TEXT($A$2,"YYYYMM")),الحركات[[#This Row],[الحالة]]="")</f>
        <v>0</v>
      </c>
      <c r="M208" s="8" t="str">
        <f>الحركات[من صندوق]&amp;"/"&amp;الحركات[إلى صندوق]</f>
        <v>دورات/صرف</v>
      </c>
      <c r="N208" s="8" t="str">
        <f>VLOOKUP(الحركات[من صندوق],Table1[],2,0)</f>
        <v>صرف</v>
      </c>
      <c r="O208" s="8" t="str">
        <f>VLOOKUP(الحركات[إلى صندوق],Table1[[الصندوق]:[نوعه]],2,0)</f>
        <v>خارجي</v>
      </c>
    </row>
    <row r="209" spans="1:15" x14ac:dyDescent="0.3">
      <c r="A209">
        <v>201810</v>
      </c>
      <c r="B209" s="3"/>
      <c r="C209" t="s">
        <v>15</v>
      </c>
      <c r="D209" s="17">
        <f>VLOOKUP(الحركات[[#This Row],[من صندوق]],Table5[],5,0)</f>
        <v>0</v>
      </c>
      <c r="E209" t="s">
        <v>14</v>
      </c>
      <c r="F209" s="17">
        <f>VLOOKUP(الحركات[[#This Row],[إلى صندوق]],Table5[[الصندوق]:[الرصيد الفعلي]],5,0)</f>
        <v>5025</v>
      </c>
      <c r="G209" s="17">
        <f>IF(VLOOKUP(الحركات[إلى صندوق],Table1[],3,0)=0,VLOOKUP(الحركات[[#This Row],[من صندوق]],Table1[[الصندوق]:[القيمة الشهرية]],3,0),VLOOKUP(الحركات[إلى صندوق],Table1[],3,0))</f>
        <v>285</v>
      </c>
      <c r="H209" s="22">
        <v>285</v>
      </c>
      <c r="I209" s="22"/>
      <c r="J209" t="s">
        <v>71</v>
      </c>
      <c r="L209" s="8" t="b">
        <f ca="1">AND(الحركات[[#This Row],[مدفوع من شهر]]&lt;=VALUE(TEXT($A$2,"YYYYMM")),الحركات[[#This Row],[الحالة]]="")</f>
        <v>0</v>
      </c>
      <c r="M209" s="8" t="str">
        <f>الحركات[من صندوق]&amp;"/"&amp;الحركات[إلى صندوق]</f>
        <v>ملابس/صرف</v>
      </c>
      <c r="N209" s="8" t="str">
        <f>VLOOKUP(الحركات[من صندوق],Table1[],2,0)</f>
        <v>صرف</v>
      </c>
      <c r="O209" s="8" t="str">
        <f>VLOOKUP(الحركات[إلى صندوق],Table1[[الصندوق]:[نوعه]],2,0)</f>
        <v>خارجي</v>
      </c>
    </row>
    <row r="210" spans="1:15" x14ac:dyDescent="0.3">
      <c r="A210">
        <v>201810</v>
      </c>
      <c r="B210" s="3"/>
      <c r="C210" t="s">
        <v>1</v>
      </c>
      <c r="D210" s="17">
        <f>VLOOKUP(الحركات[[#This Row],[من صندوق]],Table5[],5,0)</f>
        <v>0</v>
      </c>
      <c r="E210" t="s">
        <v>14</v>
      </c>
      <c r="F210" s="17">
        <f>VLOOKUP(الحركات[[#This Row],[إلى صندوق]],Table5[[الصندوق]:[الرصيد الفعلي]],5,0)</f>
        <v>5025</v>
      </c>
      <c r="G210" s="17">
        <f>IF(VLOOKUP(الحركات[إلى صندوق],Table1[],3,0)=0,VLOOKUP(الحركات[[#This Row],[من صندوق]],Table1[[الصندوق]:[القيمة الشهرية]],3,0),VLOOKUP(الحركات[إلى صندوق],Table1[],3,0))</f>
        <v>190</v>
      </c>
      <c r="H210" s="22">
        <v>190</v>
      </c>
      <c r="I210" s="22"/>
      <c r="J210" t="s">
        <v>72</v>
      </c>
      <c r="L210" s="8" t="b">
        <f ca="1">AND(الحركات[[#This Row],[مدفوع من شهر]]&lt;=VALUE(TEXT($A$2,"YYYYMM")),الحركات[[#This Row],[الحالة]]="")</f>
        <v>0</v>
      </c>
      <c r="M210" s="8" t="str">
        <f>الحركات[من صندوق]&amp;"/"&amp;الحركات[إلى صندوق]</f>
        <v>هدايا/صرف</v>
      </c>
      <c r="N210" s="8" t="str">
        <f>VLOOKUP(الحركات[من صندوق],Table1[],2,0)</f>
        <v>صرف</v>
      </c>
      <c r="O210" s="8" t="str">
        <f>VLOOKUP(الحركات[إلى صندوق],Table1[[الصندوق]:[نوعه]],2,0)</f>
        <v>خارجي</v>
      </c>
    </row>
    <row r="211" spans="1:15" x14ac:dyDescent="0.3">
      <c r="A211">
        <v>201810</v>
      </c>
      <c r="B211" s="3"/>
      <c r="C211" t="s">
        <v>12</v>
      </c>
      <c r="D211" s="20">
        <f>VLOOKUP(الحركات[[#This Row],[من صندوق]],Table5[],5,0)</f>
        <v>400</v>
      </c>
      <c r="E211" t="s">
        <v>22</v>
      </c>
      <c r="F211" s="20">
        <f>VLOOKUP(الحركات[[#This Row],[إلى صندوق]],Table5[[الصندوق]:[الرصيد الفعلي]],5,0)</f>
        <v>200</v>
      </c>
      <c r="G211" s="20">
        <f>IF(VLOOKUP(الحركات[إلى صندوق],Table1[],3,0)=0,VLOOKUP(الحركات[[#This Row],[من صندوق]],Table1[[الصندوق]:[القيمة الشهرية]],3,0),VLOOKUP(الحركات[إلى صندوق],Table1[],3,0))</f>
        <v>200</v>
      </c>
      <c r="H211" s="22">
        <v>400</v>
      </c>
      <c r="I211" s="22"/>
      <c r="J211" t="s">
        <v>89</v>
      </c>
      <c r="L211" s="13" t="b">
        <f ca="1">AND(الحركات[[#This Row],[مدفوع من شهر]]&lt;=VALUE(TEXT($A$2,"YYYYMM")),الحركات[[#This Row],[الحالة]]="")</f>
        <v>0</v>
      </c>
      <c r="M211" s="13" t="str">
        <f>الحركات[من صندوق]&amp;"/"&amp;الحركات[إلى صندوق]</f>
        <v>اجازات/زكاة</v>
      </c>
      <c r="N211" s="13" t="str">
        <f>VLOOKUP(الحركات[من صندوق],Table1[],2,0)</f>
        <v>صرف</v>
      </c>
      <c r="O211" s="13" t="str">
        <f>VLOOKUP(الحركات[إلى صندوق],Table1[[الصندوق]:[نوعه]],2,0)</f>
        <v>صرف</v>
      </c>
    </row>
    <row r="212" spans="1:15" x14ac:dyDescent="0.3">
      <c r="A212">
        <v>201810</v>
      </c>
      <c r="B212" s="3"/>
      <c r="C212" t="s">
        <v>18</v>
      </c>
      <c r="D212" s="15">
        <f>VLOOKUP(الحركات[[#This Row],[من صندوق]],Table5[],5,0)</f>
        <v>225</v>
      </c>
      <c r="E212" t="s">
        <v>21</v>
      </c>
      <c r="F212" s="15">
        <f>VLOOKUP(الحركات[[#This Row],[إلى صندوق]],Table5[[الصندوق]:[الرصيد الفعلي]],5,0)</f>
        <v>1500</v>
      </c>
      <c r="G212" s="15">
        <f>IF(VLOOKUP(الحركات[إلى صندوق],Table1[],3,0)=0,VLOOKUP(الحركات[[#This Row],[من صندوق]],Table1[[الصندوق]:[القيمة الشهرية]],3,0),VLOOKUP(الحركات[إلى صندوق],Table1[],3,0))</f>
        <v>1500</v>
      </c>
      <c r="H212" s="22">
        <v>2250</v>
      </c>
      <c r="I212" s="22"/>
      <c r="J212" t="s">
        <v>90</v>
      </c>
      <c r="L212" s="2" t="b">
        <f ca="1">AND(الحركات[[#This Row],[مدفوع من شهر]]&lt;=VALUE(TEXT($A$2,"YYYYMM")),الحركات[[#This Row],[الحالة]]="")</f>
        <v>0</v>
      </c>
      <c r="M212" s="2" t="str">
        <f>الحركات[من صندوق]&amp;"/"&amp;الحركات[إلى صندوق]</f>
        <v>الراتب/ايجار المنزل</v>
      </c>
      <c r="N212" s="2" t="str">
        <f>VLOOKUP(الحركات[من صندوق],Table1[],2,0)</f>
        <v>دخل</v>
      </c>
      <c r="O212" s="2" t="str">
        <f>VLOOKUP(الحركات[إلى صندوق],Table1[[الصندوق]:[نوعه]],2,0)</f>
        <v>صرف</v>
      </c>
    </row>
    <row r="213" spans="1:15" x14ac:dyDescent="0.3">
      <c r="A213">
        <v>201810</v>
      </c>
      <c r="B213" s="3"/>
      <c r="C213" t="s">
        <v>22</v>
      </c>
      <c r="D213" s="15">
        <f>VLOOKUP(الحركات[[#This Row],[من صندوق]],Table5[],5,0)</f>
        <v>200</v>
      </c>
      <c r="E213" t="s">
        <v>21</v>
      </c>
      <c r="F213" s="15">
        <f>VLOOKUP(الحركات[[#This Row],[إلى صندوق]],Table5[[الصندوق]:[الرصيد الفعلي]],5,0)</f>
        <v>1500</v>
      </c>
      <c r="G213" s="15">
        <f>IF(VLOOKUP(الحركات[إلى صندوق],Table1[],3,0)=0,VLOOKUP(الحركات[[#This Row],[من صندوق]],Table1[[الصندوق]:[القيمة الشهرية]],3,0),VLOOKUP(الحركات[إلى صندوق],Table1[],3,0))</f>
        <v>1500</v>
      </c>
      <c r="H213" s="22">
        <v>750</v>
      </c>
      <c r="I213" s="22"/>
      <c r="J213" t="s">
        <v>90</v>
      </c>
      <c r="L213" s="2" t="b">
        <f ca="1">AND(الحركات[[#This Row],[مدفوع من شهر]]&lt;=VALUE(TEXT($A$2,"YYYYMM")),الحركات[[#This Row],[الحالة]]="")</f>
        <v>0</v>
      </c>
      <c r="M213" s="2" t="str">
        <f>الحركات[من صندوق]&amp;"/"&amp;الحركات[إلى صندوق]</f>
        <v>زكاة/ايجار المنزل</v>
      </c>
      <c r="N213" s="2" t="str">
        <f>VLOOKUP(الحركات[من صندوق],Table1[],2,0)</f>
        <v>صرف</v>
      </c>
      <c r="O213" s="2" t="str">
        <f>VLOOKUP(الحركات[إلى صندوق],Table1[[الصندوق]:[نوعه]],2,0)</f>
        <v>صرف</v>
      </c>
    </row>
    <row r="214" spans="1:15" x14ac:dyDescent="0.3">
      <c r="A214">
        <v>201810</v>
      </c>
      <c r="B214" s="3"/>
      <c r="C214" t="s">
        <v>22</v>
      </c>
      <c r="D214" s="21">
        <f>VLOOKUP(الحركات[[#This Row],[من صندوق]],Table5[],5,0)</f>
        <v>200</v>
      </c>
      <c r="E214" t="s">
        <v>9</v>
      </c>
      <c r="F214" s="21">
        <f>VLOOKUP(الحركات[[#This Row],[إلى صندوق]],Table5[[الصندوق]:[الرصيد الفعلي]],5,0)</f>
        <v>200</v>
      </c>
      <c r="G214" s="21">
        <f>IF(VLOOKUP(الحركات[إلى صندوق],Table1[],3,0)=0,VLOOKUP(الحركات[[#This Row],[من صندوق]],Table1[[الصندوق]:[القيمة الشهرية]],3,0),VLOOKUP(الحركات[إلى صندوق],Table1[],3,0))</f>
        <v>200</v>
      </c>
      <c r="H214" s="22">
        <v>400</v>
      </c>
      <c r="I214" s="22"/>
      <c r="J214" t="s">
        <v>92</v>
      </c>
      <c r="L214" s="14" t="b">
        <f ca="1">AND(الحركات[[#This Row],[مدفوع من شهر]]&lt;=VALUE(TEXT($A$2,"YYYYMM")),الحركات[[#This Row],[الحالة]]="")</f>
        <v>0</v>
      </c>
      <c r="M214" s="14" t="str">
        <f>الحركات[من صندوق]&amp;"/"&amp;الحركات[إلى صندوق]</f>
        <v>زكاة/دورات</v>
      </c>
      <c r="N214" s="14" t="str">
        <f>VLOOKUP(الحركات[من صندوق],Table1[],2,0)</f>
        <v>صرف</v>
      </c>
      <c r="O214" s="14" t="str">
        <f>VLOOKUP(الحركات[إلى صندوق],Table1[[الصندوق]:[نوعه]],2,0)</f>
        <v>صرف</v>
      </c>
    </row>
    <row r="215" spans="1:15" x14ac:dyDescent="0.3">
      <c r="A215">
        <v>201811</v>
      </c>
      <c r="B215" s="3"/>
      <c r="C215" t="s">
        <v>20</v>
      </c>
      <c r="D215" s="15">
        <f>VLOOKUP(الحركات[[#This Row],[من صندوق]],Table5[],5,0)</f>
        <v>-10000</v>
      </c>
      <c r="E215" t="s">
        <v>18</v>
      </c>
      <c r="F215" s="15">
        <f>VLOOKUP(الحركات[[#This Row],[إلى صندوق]],Table5[[الصندوق]:[الرصيد الفعلي]],5,0)</f>
        <v>225</v>
      </c>
      <c r="G215" s="15">
        <f>IF(VLOOKUP(الحركات[إلى صندوق],Table1[],3,0)=0,VLOOKUP(الحركات[[#This Row],[من صندوق]],Table1[[الصندوق]:[القيمة الشهرية]],3,0),VLOOKUP(الحركات[إلى صندوق],Table1[],3,0))</f>
        <v>10000</v>
      </c>
      <c r="H215" s="22">
        <v>10000</v>
      </c>
      <c r="I215" s="22"/>
      <c r="J215" t="s">
        <v>40</v>
      </c>
      <c r="L215" s="2" t="b">
        <f ca="1">AND(الحركات[[#This Row],[مدفوع من شهر]]&lt;=VALUE(TEXT($A$2,"YYYYMM")),الحركات[[#This Row],[الحالة]]="")</f>
        <v>0</v>
      </c>
      <c r="M215" s="2" t="str">
        <f>الحركات[من صندوق]&amp;"/"&amp;الحركات[إلى صندوق]</f>
        <v>الشركة/الراتب</v>
      </c>
      <c r="N215" s="2" t="str">
        <f>VLOOKUP(الحركات[من صندوق],Table1[],2,0)</f>
        <v>خارجي</v>
      </c>
      <c r="O215" s="2" t="str">
        <f>VLOOKUP(الحركات[إلى صندوق],Table1[[الصندوق]:[نوعه]],2,0)</f>
        <v>دخل</v>
      </c>
    </row>
    <row r="216" spans="1:15" x14ac:dyDescent="0.3">
      <c r="A216">
        <v>201811</v>
      </c>
      <c r="B216" s="3"/>
      <c r="C216" t="s">
        <v>18</v>
      </c>
      <c r="D216" s="15">
        <f>VLOOKUP(الحركات[[#This Row],[من صندوق]],Table5[],5,0)</f>
        <v>225</v>
      </c>
      <c r="E216" t="s">
        <v>11</v>
      </c>
      <c r="F216" s="15">
        <f>VLOOKUP(الحركات[[#This Row],[إلى صندوق]],Table5[[الصندوق]:[الرصيد الفعلي]],5,0)</f>
        <v>0</v>
      </c>
      <c r="G216" s="15">
        <f>IF(VLOOKUP(الحركات[إلى صندوق],Table1[],3,0)=0,VLOOKUP(الحركات[[#This Row],[من صندوق]],Table1[[الصندوق]:[القيمة الشهرية]],3,0),VLOOKUP(الحركات[إلى صندوق],Table1[],3,0))</f>
        <v>250</v>
      </c>
      <c r="H216" s="22">
        <v>250</v>
      </c>
      <c r="I216" s="22"/>
      <c r="J216" t="s">
        <v>47</v>
      </c>
      <c r="L216" s="2" t="b">
        <f ca="1">AND(الحركات[[#This Row],[مدفوع من شهر]]&lt;=VALUE(TEXT($A$2,"YYYYMM")),الحركات[[#This Row],[الحالة]]="")</f>
        <v>0</v>
      </c>
      <c r="M216" s="2" t="str">
        <f>الحركات[من صندوق]&amp;"/"&amp;الحركات[إلى صندوق]</f>
        <v>الراتب/فواتير</v>
      </c>
      <c r="N216" s="2" t="str">
        <f>VLOOKUP(الحركات[من صندوق],Table1[],2,0)</f>
        <v>دخل</v>
      </c>
      <c r="O216" s="2" t="str">
        <f>VLOOKUP(الحركات[إلى صندوق],Table1[[الصندوق]:[نوعه]],2,0)</f>
        <v>صرف</v>
      </c>
    </row>
    <row r="217" spans="1:15" x14ac:dyDescent="0.3">
      <c r="A217">
        <v>201811</v>
      </c>
      <c r="B217" s="3"/>
      <c r="C217" t="s">
        <v>18</v>
      </c>
      <c r="D217" s="15">
        <f>VLOOKUP(الحركات[[#This Row],[من صندوق]],Table5[],5,0)</f>
        <v>225</v>
      </c>
      <c r="E217" t="s">
        <v>13</v>
      </c>
      <c r="F217" s="15">
        <f>VLOOKUP(الحركات[[#This Row],[إلى صندوق]],Table5[[الصندوق]:[الرصيد الفعلي]],5,0)</f>
        <v>0</v>
      </c>
      <c r="G217" s="15">
        <f>IF(VLOOKUP(الحركات[إلى صندوق],Table1[],3,0)=0,VLOOKUP(الحركات[[#This Row],[من صندوق]],Table1[[الصندوق]:[القيمة الشهرية]],3,0),VLOOKUP(الحركات[إلى صندوق],Table1[],3,0))</f>
        <v>3800</v>
      </c>
      <c r="H217" s="22">
        <v>3800</v>
      </c>
      <c r="I217" s="22"/>
      <c r="J217" t="s">
        <v>48</v>
      </c>
      <c r="L217" s="2" t="b">
        <f ca="1">AND(الحركات[[#This Row],[مدفوع من شهر]]&lt;=VALUE(TEXT($A$2,"YYYYMM")),الحركات[[#This Row],[الحالة]]="")</f>
        <v>0</v>
      </c>
      <c r="M217" s="2" t="str">
        <f>الحركات[من صندوق]&amp;"/"&amp;الحركات[إلى صندوق]</f>
        <v>الراتب/مصاريف شهرية</v>
      </c>
      <c r="N217" s="2" t="str">
        <f>VLOOKUP(الحركات[من صندوق],Table1[],2,0)</f>
        <v>دخل</v>
      </c>
      <c r="O217" s="2" t="str">
        <f>VLOOKUP(الحركات[إلى صندوق],Table1[[الصندوق]:[نوعه]],2,0)</f>
        <v>صرف</v>
      </c>
    </row>
    <row r="218" spans="1:15" x14ac:dyDescent="0.3">
      <c r="A218">
        <v>201811</v>
      </c>
      <c r="B218" s="3"/>
      <c r="C218" t="s">
        <v>18</v>
      </c>
      <c r="D218" s="15">
        <f>VLOOKUP(الحركات[[#This Row],[من صندوق]],Table5[],5,0)</f>
        <v>225</v>
      </c>
      <c r="E218" t="s">
        <v>3</v>
      </c>
      <c r="F218" s="15">
        <f>VLOOKUP(الحركات[[#This Row],[إلى صندوق]],Table5[[الصندوق]:[الرصيد الفعلي]],5,0)</f>
        <v>2000</v>
      </c>
      <c r="G218" s="15">
        <f>IF(VLOOKUP(الحركات[إلى صندوق],Table1[],3,0)=0,VLOOKUP(الحركات[[#This Row],[من صندوق]],Table1[[الصندوق]:[القيمة الشهرية]],3,0),VLOOKUP(الحركات[إلى صندوق],Table1[],3,0))</f>
        <v>2000</v>
      </c>
      <c r="H218" s="22">
        <v>2000</v>
      </c>
      <c r="I218" s="22"/>
      <c r="J218" t="s">
        <v>49</v>
      </c>
      <c r="L218" s="2" t="b">
        <f ca="1">AND(الحركات[[#This Row],[مدفوع من شهر]]&lt;=VALUE(TEXT($A$2,"YYYYMM")),الحركات[[#This Row],[الحالة]]="")</f>
        <v>0</v>
      </c>
      <c r="M218" s="2" t="str">
        <f>الحركات[من صندوق]&amp;"/"&amp;الحركات[إلى صندوق]</f>
        <v>الراتب/مدارس</v>
      </c>
      <c r="N218" s="2" t="str">
        <f>VLOOKUP(الحركات[من صندوق],Table1[],2,0)</f>
        <v>دخل</v>
      </c>
      <c r="O218" s="2" t="str">
        <f>VLOOKUP(الحركات[إلى صندوق],Table1[[الصندوق]:[نوعه]],2,0)</f>
        <v>صرف</v>
      </c>
    </row>
    <row r="219" spans="1:15" x14ac:dyDescent="0.3">
      <c r="A219">
        <v>201811</v>
      </c>
      <c r="B219" s="3"/>
      <c r="C219" t="s">
        <v>18</v>
      </c>
      <c r="D219" s="15">
        <f>VLOOKUP(الحركات[[#This Row],[من صندوق]],Table5[],5,0)</f>
        <v>225</v>
      </c>
      <c r="E219" t="s">
        <v>21</v>
      </c>
      <c r="F219" s="15">
        <f>VLOOKUP(الحركات[[#This Row],[إلى صندوق]],Table5[[الصندوق]:[الرصيد الفعلي]],5,0)</f>
        <v>1500</v>
      </c>
      <c r="G219" s="15">
        <f>IF(VLOOKUP(الحركات[إلى صندوق],Table1[],3,0)=0,VLOOKUP(الحركات[[#This Row],[من صندوق]],Table1[[الصندوق]:[القيمة الشهرية]],3,0),VLOOKUP(الحركات[إلى صندوق],Table1[],3,0))</f>
        <v>1500</v>
      </c>
      <c r="H219" s="22">
        <v>1500</v>
      </c>
      <c r="I219" s="22"/>
      <c r="J219" t="s">
        <v>50</v>
      </c>
      <c r="L219" s="2" t="b">
        <f ca="1">AND(الحركات[[#This Row],[مدفوع من شهر]]&lt;=VALUE(TEXT($A$2,"YYYYMM")),الحركات[[#This Row],[الحالة]]="")</f>
        <v>0</v>
      </c>
      <c r="M219" s="2" t="str">
        <f>الحركات[من صندوق]&amp;"/"&amp;الحركات[إلى صندوق]</f>
        <v>الراتب/ايجار المنزل</v>
      </c>
      <c r="N219" s="2" t="str">
        <f>VLOOKUP(الحركات[من صندوق],Table1[],2,0)</f>
        <v>دخل</v>
      </c>
      <c r="O219" s="2" t="str">
        <f>VLOOKUP(الحركات[إلى صندوق],Table1[[الصندوق]:[نوعه]],2,0)</f>
        <v>صرف</v>
      </c>
    </row>
    <row r="220" spans="1:15" x14ac:dyDescent="0.3">
      <c r="A220">
        <v>201811</v>
      </c>
      <c r="B220" s="3"/>
      <c r="C220" t="s">
        <v>18</v>
      </c>
      <c r="D220" s="15">
        <f>VLOOKUP(الحركات[[#This Row],[من صندوق]],Table5[],5,0)</f>
        <v>225</v>
      </c>
      <c r="E220" t="s">
        <v>0</v>
      </c>
      <c r="F220" s="15">
        <f>VLOOKUP(الحركات[[#This Row],[إلى صندوق]],Table5[[الصندوق]:[الرصيد الفعلي]],5,0)</f>
        <v>0</v>
      </c>
      <c r="G220" s="15">
        <f>IF(VLOOKUP(الحركات[إلى صندوق],Table1[],3,0)=0,VLOOKUP(الحركات[[#This Row],[من صندوق]],Table1[[الصندوق]:[القيمة الشهرية]],3,0),VLOOKUP(الحركات[إلى صندوق],Table1[],3,0))</f>
        <v>500</v>
      </c>
      <c r="H220" s="22">
        <v>500</v>
      </c>
      <c r="I220" s="22"/>
      <c r="J220" t="s">
        <v>51</v>
      </c>
      <c r="L220" s="2" t="b">
        <f ca="1">AND(الحركات[[#This Row],[مدفوع من شهر]]&lt;=VALUE(TEXT($A$2,"YYYYMM")),الحركات[[#This Row],[الحالة]]="")</f>
        <v>0</v>
      </c>
      <c r="M220" s="2" t="str">
        <f>الحركات[من صندوق]&amp;"/"&amp;الحركات[إلى صندوق]</f>
        <v>الراتب/توفير</v>
      </c>
      <c r="N220" s="2" t="str">
        <f>VLOOKUP(الحركات[من صندوق],Table1[],2,0)</f>
        <v>دخل</v>
      </c>
      <c r="O220" s="2" t="str">
        <f>VLOOKUP(الحركات[إلى صندوق],Table1[[الصندوق]:[نوعه]],2,0)</f>
        <v>صرف</v>
      </c>
    </row>
    <row r="221" spans="1:15" x14ac:dyDescent="0.3">
      <c r="A221">
        <v>201811</v>
      </c>
      <c r="B221" s="3"/>
      <c r="C221" t="s">
        <v>18</v>
      </c>
      <c r="D221" s="15">
        <f>VLOOKUP(الحركات[[#This Row],[من صندوق]],Table5[],5,0)</f>
        <v>225</v>
      </c>
      <c r="E221" t="s">
        <v>12</v>
      </c>
      <c r="F221" s="15">
        <f>VLOOKUP(الحركات[[#This Row],[إلى صندوق]],Table5[[الصندوق]:[الرصيد الفعلي]],5,0)</f>
        <v>400</v>
      </c>
      <c r="G221" s="15">
        <f>IF(VLOOKUP(الحركات[إلى صندوق],Table1[],3,0)=0,VLOOKUP(الحركات[[#This Row],[من صندوق]],Table1[[الصندوق]:[القيمة الشهرية]],3,0),VLOOKUP(الحركات[إلى صندوق],Table1[],3,0))</f>
        <v>400</v>
      </c>
      <c r="H221" s="22">
        <v>400</v>
      </c>
      <c r="I221" s="22"/>
      <c r="J221" t="s">
        <v>52</v>
      </c>
      <c r="L221" s="2" t="b">
        <f ca="1">AND(الحركات[[#This Row],[مدفوع من شهر]]&lt;=VALUE(TEXT($A$2,"YYYYMM")),الحركات[[#This Row],[الحالة]]="")</f>
        <v>0</v>
      </c>
      <c r="M221" s="2" t="str">
        <f>الحركات[من صندوق]&amp;"/"&amp;الحركات[إلى صندوق]</f>
        <v>الراتب/اجازات</v>
      </c>
      <c r="N221" s="2" t="str">
        <f>VLOOKUP(الحركات[من صندوق],Table1[],2,0)</f>
        <v>دخل</v>
      </c>
      <c r="O221" s="2" t="str">
        <f>VLOOKUP(الحركات[إلى صندوق],Table1[[الصندوق]:[نوعه]],2,0)</f>
        <v>صرف</v>
      </c>
    </row>
    <row r="222" spans="1:15" x14ac:dyDescent="0.3">
      <c r="A222">
        <v>201811</v>
      </c>
      <c r="B222" s="3"/>
      <c r="C222" t="s">
        <v>18</v>
      </c>
      <c r="D222" s="15">
        <f>VLOOKUP(الحركات[[#This Row],[من صندوق]],Table5[],5,0)</f>
        <v>225</v>
      </c>
      <c r="E222" t="s">
        <v>9</v>
      </c>
      <c r="F222" s="15">
        <f>VLOOKUP(الحركات[[#This Row],[إلى صندوق]],Table5[[الصندوق]:[الرصيد الفعلي]],5,0)</f>
        <v>200</v>
      </c>
      <c r="G222" s="15">
        <f>IF(VLOOKUP(الحركات[إلى صندوق],Table1[],3,0)=0,VLOOKUP(الحركات[[#This Row],[من صندوق]],Table1[[الصندوق]:[القيمة الشهرية]],3,0),VLOOKUP(الحركات[إلى صندوق],Table1[],3,0))</f>
        <v>200</v>
      </c>
      <c r="H222" s="22">
        <v>200</v>
      </c>
      <c r="I222" s="22"/>
      <c r="J222" t="s">
        <v>53</v>
      </c>
      <c r="L222" s="2" t="b">
        <f ca="1">AND(الحركات[[#This Row],[مدفوع من شهر]]&lt;=VALUE(TEXT($A$2,"YYYYMM")),الحركات[[#This Row],[الحالة]]="")</f>
        <v>0</v>
      </c>
      <c r="M222" s="2" t="str">
        <f>الحركات[من صندوق]&amp;"/"&amp;الحركات[إلى صندوق]</f>
        <v>الراتب/دورات</v>
      </c>
      <c r="N222" s="2" t="str">
        <f>VLOOKUP(الحركات[من صندوق],Table1[],2,0)</f>
        <v>دخل</v>
      </c>
      <c r="O222" s="2" t="str">
        <f>VLOOKUP(الحركات[إلى صندوق],Table1[[الصندوق]:[نوعه]],2,0)</f>
        <v>صرف</v>
      </c>
    </row>
    <row r="223" spans="1:15" x14ac:dyDescent="0.3">
      <c r="A223">
        <v>201811</v>
      </c>
      <c r="B223" s="3"/>
      <c r="C223" t="s">
        <v>18</v>
      </c>
      <c r="D223" s="15">
        <f>VLOOKUP(الحركات[[#This Row],[من صندوق]],Table5[],5,0)</f>
        <v>225</v>
      </c>
      <c r="E223" t="s">
        <v>22</v>
      </c>
      <c r="F223" s="15">
        <f>VLOOKUP(الحركات[[#This Row],[إلى صندوق]],Table5[[الصندوق]:[الرصيد الفعلي]],5,0)</f>
        <v>200</v>
      </c>
      <c r="G223" s="15">
        <f>IF(VLOOKUP(الحركات[إلى صندوق],Table1[],3,0)=0,VLOOKUP(الحركات[[#This Row],[من صندوق]],Table1[[الصندوق]:[القيمة الشهرية]],3,0),VLOOKUP(الحركات[إلى صندوق],Table1[],3,0))</f>
        <v>200</v>
      </c>
      <c r="H223" s="22">
        <v>200</v>
      </c>
      <c r="I223" s="22"/>
      <c r="J223" t="s">
        <v>54</v>
      </c>
      <c r="L223" s="2" t="b">
        <f ca="1">AND(الحركات[[#This Row],[مدفوع من شهر]]&lt;=VALUE(TEXT($A$2,"YYYYMM")),الحركات[[#This Row],[الحالة]]="")</f>
        <v>0</v>
      </c>
      <c r="M223" s="2" t="str">
        <f>الحركات[من صندوق]&amp;"/"&amp;الحركات[إلى صندوق]</f>
        <v>الراتب/زكاة</v>
      </c>
      <c r="N223" s="2" t="str">
        <f>VLOOKUP(الحركات[من صندوق],Table1[],2,0)</f>
        <v>دخل</v>
      </c>
      <c r="O223" s="2" t="str">
        <f>VLOOKUP(الحركات[إلى صندوق],Table1[[الصندوق]:[نوعه]],2,0)</f>
        <v>صرف</v>
      </c>
    </row>
    <row r="224" spans="1:15" x14ac:dyDescent="0.3">
      <c r="A224">
        <v>201811</v>
      </c>
      <c r="B224" s="3"/>
      <c r="C224" t="s">
        <v>18</v>
      </c>
      <c r="D224" s="15">
        <f>VLOOKUP(الحركات[[#This Row],[من صندوق]],Table5[],5,0)</f>
        <v>225</v>
      </c>
      <c r="E224" t="s">
        <v>10</v>
      </c>
      <c r="F224" s="15">
        <f>VLOOKUP(الحركات[[#This Row],[إلى صندوق]],Table5[[الصندوق]:[الرصيد الفعلي]],5,0)</f>
        <v>250</v>
      </c>
      <c r="G224" s="15">
        <f>IF(VLOOKUP(الحركات[إلى صندوق],Table1[],3,0)=0,VLOOKUP(الحركات[[#This Row],[من صندوق]],Table1[[الصندوق]:[القيمة الشهرية]],3,0),VLOOKUP(الحركات[إلى صندوق],Table1[],3,0))</f>
        <v>250</v>
      </c>
      <c r="H224" s="22">
        <v>250</v>
      </c>
      <c r="I224" s="22"/>
      <c r="J224" t="s">
        <v>55</v>
      </c>
      <c r="L224" s="2" t="b">
        <f ca="1">AND(الحركات[[#This Row],[مدفوع من شهر]]&lt;=VALUE(TEXT($A$2,"YYYYMM")),الحركات[[#This Row],[الحالة]]="")</f>
        <v>0</v>
      </c>
      <c r="M224" s="2" t="str">
        <f>الحركات[من صندوق]&amp;"/"&amp;الحركات[إلى صندوق]</f>
        <v>الراتب/صيانة السيارة</v>
      </c>
      <c r="N224" s="2" t="str">
        <f>VLOOKUP(الحركات[من صندوق],Table1[],2,0)</f>
        <v>دخل</v>
      </c>
      <c r="O224" s="2" t="str">
        <f>VLOOKUP(الحركات[إلى صندوق],Table1[[الصندوق]:[نوعه]],2,0)</f>
        <v>صرف</v>
      </c>
    </row>
    <row r="225" spans="1:15" x14ac:dyDescent="0.3">
      <c r="A225">
        <v>201811</v>
      </c>
      <c r="B225" s="3"/>
      <c r="C225" t="s">
        <v>18</v>
      </c>
      <c r="D225" s="15">
        <f>VLOOKUP(الحركات[[#This Row],[من صندوق]],Table5[],5,0)</f>
        <v>225</v>
      </c>
      <c r="E225" t="s">
        <v>15</v>
      </c>
      <c r="F225" s="15">
        <f>VLOOKUP(الحركات[[#This Row],[إلى صندوق]],Table5[[الصندوق]:[الرصيد الفعلي]],5,0)</f>
        <v>0</v>
      </c>
      <c r="G225" s="15">
        <f>IF(VLOOKUP(الحركات[إلى صندوق],Table1[],3,0)=0,VLOOKUP(الحركات[[#This Row],[من صندوق]],Table1[[الصندوق]:[القيمة الشهرية]],3,0),VLOOKUP(الحركات[إلى صندوق],Table1[],3,0))</f>
        <v>285</v>
      </c>
      <c r="H225" s="22">
        <v>285</v>
      </c>
      <c r="I225" s="22"/>
      <c r="J225" t="s">
        <v>56</v>
      </c>
      <c r="L225" s="2" t="b">
        <f ca="1">AND(الحركات[[#This Row],[مدفوع من شهر]]&lt;=VALUE(TEXT($A$2,"YYYYMM")),الحركات[[#This Row],[الحالة]]="")</f>
        <v>0</v>
      </c>
      <c r="M225" s="2" t="str">
        <f>الحركات[من صندوق]&amp;"/"&amp;الحركات[إلى صندوق]</f>
        <v>الراتب/ملابس</v>
      </c>
      <c r="N225" s="2" t="str">
        <f>VLOOKUP(الحركات[من صندوق],Table1[],2,0)</f>
        <v>دخل</v>
      </c>
      <c r="O225" s="2" t="str">
        <f>VLOOKUP(الحركات[إلى صندوق],Table1[[الصندوق]:[نوعه]],2,0)</f>
        <v>صرف</v>
      </c>
    </row>
    <row r="226" spans="1:15" x14ac:dyDescent="0.3">
      <c r="A226">
        <v>201811</v>
      </c>
      <c r="B226" s="3"/>
      <c r="C226" t="s">
        <v>18</v>
      </c>
      <c r="D226" s="15">
        <f>VLOOKUP(الحركات[[#This Row],[من صندوق]],Table5[],5,0)</f>
        <v>225</v>
      </c>
      <c r="E226" t="s">
        <v>1</v>
      </c>
      <c r="F226" s="15">
        <f>VLOOKUP(الحركات[[#This Row],[إلى صندوق]],Table5[[الصندوق]:[الرصيد الفعلي]],5,0)</f>
        <v>0</v>
      </c>
      <c r="G226" s="15">
        <f>IF(VLOOKUP(الحركات[إلى صندوق],Table1[],3,0)=0,VLOOKUP(الحركات[[#This Row],[من صندوق]],Table1[[الصندوق]:[القيمة الشهرية]],3,0),VLOOKUP(الحركات[إلى صندوق],Table1[],3,0))</f>
        <v>190</v>
      </c>
      <c r="H226" s="22">
        <v>190</v>
      </c>
      <c r="I226" s="22"/>
      <c r="J226" t="s">
        <v>57</v>
      </c>
      <c r="L226" s="2" t="b">
        <f ca="1">AND(الحركات[[#This Row],[مدفوع من شهر]]&lt;=VALUE(TEXT($A$2,"YYYYMM")),الحركات[[#This Row],[الحالة]]="")</f>
        <v>0</v>
      </c>
      <c r="M226" s="2" t="str">
        <f>الحركات[من صندوق]&amp;"/"&amp;الحركات[إلى صندوق]</f>
        <v>الراتب/هدايا</v>
      </c>
      <c r="N226" s="2" t="str">
        <f>VLOOKUP(الحركات[من صندوق],Table1[],2,0)</f>
        <v>دخل</v>
      </c>
      <c r="O226" s="2" t="str">
        <f>VLOOKUP(الحركات[إلى صندوق],Table1[[الصندوق]:[نوعه]],2,0)</f>
        <v>صرف</v>
      </c>
    </row>
    <row r="227" spans="1:15" x14ac:dyDescent="0.3">
      <c r="A227">
        <v>201811</v>
      </c>
      <c r="B227" s="3"/>
      <c r="C227" t="s">
        <v>18</v>
      </c>
      <c r="D227" s="15">
        <f>VLOOKUP(الحركات[[#This Row],[من صندوق]],Table5[],5,0)</f>
        <v>225</v>
      </c>
      <c r="E227" t="s">
        <v>4</v>
      </c>
      <c r="F227" s="15">
        <f>VLOOKUP(الحركات[[#This Row],[إلى صندوق]],Table5[[الصندوق]:[الرصيد الفعلي]],5,0)</f>
        <v>200</v>
      </c>
      <c r="G227" s="15">
        <f>IF(VLOOKUP(الحركات[إلى صندوق],Table1[],3,0)=0,VLOOKUP(الحركات[[#This Row],[من صندوق]],Table1[[الصندوق]:[القيمة الشهرية]],3,0),VLOOKUP(الحركات[إلى صندوق],Table1[],3,0))</f>
        <v>200</v>
      </c>
      <c r="H227" s="22">
        <v>200</v>
      </c>
      <c r="I227" s="22"/>
      <c r="J227" t="s">
        <v>58</v>
      </c>
      <c r="L227" s="2" t="b">
        <f ca="1">AND(الحركات[[#This Row],[مدفوع من شهر]]&lt;=VALUE(TEXT($A$2,"YYYYMM")),الحركات[[#This Row],[الحالة]]="")</f>
        <v>0</v>
      </c>
      <c r="M227" s="2" t="str">
        <f>الحركات[من صندوق]&amp;"/"&amp;الحركات[إلى صندوق]</f>
        <v>الراتب/طوارئ</v>
      </c>
      <c r="N227" s="2" t="str">
        <f>VLOOKUP(الحركات[من صندوق],Table1[],2,0)</f>
        <v>دخل</v>
      </c>
      <c r="O227" s="2" t="str">
        <f>VLOOKUP(الحركات[إلى صندوق],Table1[[الصندوق]:[نوعه]],2,0)</f>
        <v>صرف</v>
      </c>
    </row>
    <row r="228" spans="1:15" x14ac:dyDescent="0.3">
      <c r="A228">
        <v>201811</v>
      </c>
      <c r="B228" s="3"/>
      <c r="C228" t="s">
        <v>11</v>
      </c>
      <c r="D228" s="16">
        <f>VLOOKUP(الحركات[[#This Row],[من صندوق]],Table5[],5,0)</f>
        <v>0</v>
      </c>
      <c r="E228" t="s">
        <v>14</v>
      </c>
      <c r="F228" s="16">
        <f>VLOOKUP(الحركات[[#This Row],[إلى صندوق]],Table5[[الصندوق]:[الرصيد الفعلي]],5,0)</f>
        <v>5025</v>
      </c>
      <c r="G228" s="16">
        <f>IF(VLOOKUP(الحركات[إلى صندوق],Table1[],3,0)=0,VLOOKUP(الحركات[[#This Row],[من صندوق]],Table1[[الصندوق]:[القيمة الشهرية]],3,0),VLOOKUP(الحركات[إلى صندوق],Table1[],3,0))</f>
        <v>250</v>
      </c>
      <c r="H228" s="22">
        <v>250</v>
      </c>
      <c r="I228" s="22"/>
      <c r="J228" t="s">
        <v>59</v>
      </c>
      <c r="L228" s="7" t="b">
        <f ca="1">AND(الحركات[[#This Row],[مدفوع من شهر]]&lt;=VALUE(TEXT($A$2,"YYYYMM")),الحركات[[#This Row],[الحالة]]="")</f>
        <v>0</v>
      </c>
      <c r="M228" s="7" t="str">
        <f>الحركات[من صندوق]&amp;"/"&amp;الحركات[إلى صندوق]</f>
        <v>فواتير/صرف</v>
      </c>
      <c r="N228" s="7" t="str">
        <f>VLOOKUP(الحركات[من صندوق],Table1[],2,0)</f>
        <v>صرف</v>
      </c>
      <c r="O228" s="7" t="str">
        <f>VLOOKUP(الحركات[إلى صندوق],Table1[[الصندوق]:[نوعه]],2,0)</f>
        <v>خارجي</v>
      </c>
    </row>
    <row r="229" spans="1:15" x14ac:dyDescent="0.3">
      <c r="A229">
        <v>201811</v>
      </c>
      <c r="B229" s="3"/>
      <c r="C229" t="s">
        <v>13</v>
      </c>
      <c r="D229" s="16">
        <f>VLOOKUP(الحركات[[#This Row],[من صندوق]],Table5[],5,0)</f>
        <v>0</v>
      </c>
      <c r="E229" t="s">
        <v>14</v>
      </c>
      <c r="F229" s="16">
        <f>VLOOKUP(الحركات[[#This Row],[إلى صندوق]],Table5[[الصندوق]:[الرصيد الفعلي]],5,0)</f>
        <v>5025</v>
      </c>
      <c r="G229" s="16">
        <f>IF(VLOOKUP(الحركات[إلى صندوق],Table1[],3,0)=0,VLOOKUP(الحركات[[#This Row],[من صندوق]],Table1[[الصندوق]:[القيمة الشهرية]],3,0),VLOOKUP(الحركات[إلى صندوق],Table1[],3,0))</f>
        <v>3800</v>
      </c>
      <c r="H229" s="22">
        <v>3800</v>
      </c>
      <c r="I229" s="22"/>
      <c r="J229" t="s">
        <v>60</v>
      </c>
      <c r="L229" s="7" t="b">
        <f ca="1">AND(الحركات[[#This Row],[مدفوع من شهر]]&lt;=VALUE(TEXT($A$2,"YYYYMM")),الحركات[[#This Row],[الحالة]]="")</f>
        <v>0</v>
      </c>
      <c r="M229" s="7" t="str">
        <f>الحركات[من صندوق]&amp;"/"&amp;الحركات[إلى صندوق]</f>
        <v>مصاريف شهرية/صرف</v>
      </c>
      <c r="N229" s="7" t="str">
        <f>VLOOKUP(الحركات[من صندوق],Table1[],2,0)</f>
        <v>صرف</v>
      </c>
      <c r="O229" s="7" t="str">
        <f>VLOOKUP(الحركات[إلى صندوق],Table1[[الصندوق]:[نوعه]],2,0)</f>
        <v>خارجي</v>
      </c>
    </row>
    <row r="230" spans="1:15" x14ac:dyDescent="0.3">
      <c r="A230">
        <v>201811</v>
      </c>
      <c r="B230" s="3"/>
      <c r="C230" t="s">
        <v>3</v>
      </c>
      <c r="D230" s="16">
        <f>VLOOKUP(الحركات[[#This Row],[من صندوق]],Table5[],5,0)</f>
        <v>2000</v>
      </c>
      <c r="E230" t="s">
        <v>14</v>
      </c>
      <c r="F230" s="16">
        <f>VLOOKUP(الحركات[[#This Row],[إلى صندوق]],Table5[[الصندوق]:[الرصيد الفعلي]],5,0)</f>
        <v>5025</v>
      </c>
      <c r="G230" s="16">
        <f>IF(VLOOKUP(الحركات[إلى صندوق],Table1[],3,0)=0,VLOOKUP(الحركات[[#This Row],[من صندوق]],Table1[[الصندوق]:[القيمة الشهرية]],3,0),VLOOKUP(الحركات[إلى صندوق],Table1[],3,0))</f>
        <v>2000</v>
      </c>
      <c r="H230" s="22">
        <v>8000</v>
      </c>
      <c r="I230" s="22"/>
      <c r="J230" t="s">
        <v>63</v>
      </c>
      <c r="L230" s="7" t="b">
        <f ca="1">AND(الحركات[[#This Row],[مدفوع من شهر]]&lt;=VALUE(TEXT($A$2,"YYYYMM")),الحركات[[#This Row],[الحالة]]="")</f>
        <v>0</v>
      </c>
      <c r="M230" s="7" t="str">
        <f>الحركات[من صندوق]&amp;"/"&amp;الحركات[إلى صندوق]</f>
        <v>مدارس/صرف</v>
      </c>
      <c r="N230" s="7" t="str">
        <f>VLOOKUP(الحركات[من صندوق],Table1[],2,0)</f>
        <v>صرف</v>
      </c>
      <c r="O230" s="7" t="str">
        <f>VLOOKUP(الحركات[إلى صندوق],Table1[[الصندوق]:[نوعه]],2,0)</f>
        <v>خارجي</v>
      </c>
    </row>
    <row r="231" spans="1:15" x14ac:dyDescent="0.3">
      <c r="A231">
        <v>201811</v>
      </c>
      <c r="B231" s="3"/>
      <c r="C231" t="s">
        <v>0</v>
      </c>
      <c r="D231" s="16">
        <f>VLOOKUP(الحركات[[#This Row],[من صندوق]],Table5[],5,0)</f>
        <v>0</v>
      </c>
      <c r="E231" t="s">
        <v>14</v>
      </c>
      <c r="F231" s="16">
        <f>VLOOKUP(الحركات[[#This Row],[إلى صندوق]],Table5[[الصندوق]:[الرصيد الفعلي]],5,0)</f>
        <v>5025</v>
      </c>
      <c r="G231" s="16">
        <f>IF(VLOOKUP(الحركات[إلى صندوق],Table1[],3,0)=0,VLOOKUP(الحركات[[#This Row],[من صندوق]],Table1[[الصندوق]:[القيمة الشهرية]],3,0),VLOOKUP(الحركات[إلى صندوق],Table1[],3,0))</f>
        <v>500</v>
      </c>
      <c r="H231" s="22">
        <v>500</v>
      </c>
      <c r="I231" s="22"/>
      <c r="J231" t="s">
        <v>66</v>
      </c>
      <c r="L231" s="7" t="b">
        <f ca="1">AND(الحركات[[#This Row],[مدفوع من شهر]]&lt;=VALUE(TEXT($A$2,"YYYYMM")),الحركات[[#This Row],[الحالة]]="")</f>
        <v>0</v>
      </c>
      <c r="M231" s="7" t="str">
        <f>الحركات[من صندوق]&amp;"/"&amp;الحركات[إلى صندوق]</f>
        <v>توفير/صرف</v>
      </c>
      <c r="N231" s="7" t="str">
        <f>VLOOKUP(الحركات[من صندوق],Table1[],2,0)</f>
        <v>صرف</v>
      </c>
      <c r="O231" s="7" t="str">
        <f>VLOOKUP(الحركات[إلى صندوق],Table1[[الصندوق]:[نوعه]],2,0)</f>
        <v>خارجي</v>
      </c>
    </row>
    <row r="232" spans="1:15" x14ac:dyDescent="0.3">
      <c r="A232">
        <v>201811</v>
      </c>
      <c r="B232" s="3"/>
      <c r="C232" t="s">
        <v>15</v>
      </c>
      <c r="D232" s="17">
        <f>VLOOKUP(الحركات[[#This Row],[من صندوق]],Table5[],5,0)</f>
        <v>0</v>
      </c>
      <c r="E232" t="s">
        <v>14</v>
      </c>
      <c r="F232" s="17">
        <f>VLOOKUP(الحركات[[#This Row],[إلى صندوق]],Table5[[الصندوق]:[الرصيد الفعلي]],5,0)</f>
        <v>5025</v>
      </c>
      <c r="G232" s="17">
        <f>IF(VLOOKUP(الحركات[إلى صندوق],Table1[],3,0)=0,VLOOKUP(الحركات[[#This Row],[من صندوق]],Table1[[الصندوق]:[القيمة الشهرية]],3,0),VLOOKUP(الحركات[إلى صندوق],Table1[],3,0))</f>
        <v>285</v>
      </c>
      <c r="H232" s="22">
        <v>285</v>
      </c>
      <c r="I232" s="22"/>
      <c r="J232" t="s">
        <v>71</v>
      </c>
      <c r="L232" s="8" t="b">
        <f ca="1">AND(الحركات[[#This Row],[مدفوع من شهر]]&lt;=VALUE(TEXT($A$2,"YYYYMM")),الحركات[[#This Row],[الحالة]]="")</f>
        <v>0</v>
      </c>
      <c r="M232" s="8" t="str">
        <f>الحركات[من صندوق]&amp;"/"&amp;الحركات[إلى صندوق]</f>
        <v>ملابس/صرف</v>
      </c>
      <c r="N232" s="8" t="str">
        <f>VLOOKUP(الحركات[من صندوق],Table1[],2,0)</f>
        <v>صرف</v>
      </c>
      <c r="O232" s="8" t="str">
        <f>VLOOKUP(الحركات[إلى صندوق],Table1[[الصندوق]:[نوعه]],2,0)</f>
        <v>خارجي</v>
      </c>
    </row>
    <row r="233" spans="1:15" x14ac:dyDescent="0.3">
      <c r="A233">
        <v>201811</v>
      </c>
      <c r="B233" s="3"/>
      <c r="C233" t="s">
        <v>1</v>
      </c>
      <c r="D233" s="17">
        <f>VLOOKUP(الحركات[[#This Row],[من صندوق]],Table5[],5,0)</f>
        <v>0</v>
      </c>
      <c r="E233" t="s">
        <v>14</v>
      </c>
      <c r="F233" s="17">
        <f>VLOOKUP(الحركات[[#This Row],[إلى صندوق]],Table5[[الصندوق]:[الرصيد الفعلي]],5,0)</f>
        <v>5025</v>
      </c>
      <c r="G233" s="17">
        <f>IF(VLOOKUP(الحركات[إلى صندوق],Table1[],3,0)=0,VLOOKUP(الحركات[[#This Row],[من صندوق]],Table1[[الصندوق]:[القيمة الشهرية]],3,0),VLOOKUP(الحركات[إلى صندوق],Table1[],3,0))</f>
        <v>190</v>
      </c>
      <c r="H233" s="22">
        <v>190</v>
      </c>
      <c r="I233" s="22"/>
      <c r="J233" t="s">
        <v>72</v>
      </c>
      <c r="L233" s="8" t="b">
        <f ca="1">AND(الحركات[[#This Row],[مدفوع من شهر]]&lt;=VALUE(TEXT($A$2,"YYYYMM")),الحركات[[#This Row],[الحالة]]="")</f>
        <v>0</v>
      </c>
      <c r="M233" s="8" t="str">
        <f>الحركات[من صندوق]&amp;"/"&amp;الحركات[إلى صندوق]</f>
        <v>هدايا/صرف</v>
      </c>
      <c r="N233" s="8" t="str">
        <f>VLOOKUP(الحركات[من صندوق],Table1[],2,0)</f>
        <v>صرف</v>
      </c>
      <c r="O233" s="8" t="str">
        <f>VLOOKUP(الحركات[إلى صندوق],Table1[[الصندوق]:[نوعه]],2,0)</f>
        <v>خارجي</v>
      </c>
    </row>
    <row r="234" spans="1:15" x14ac:dyDescent="0.3">
      <c r="A234">
        <v>201811</v>
      </c>
      <c r="B234" s="3"/>
      <c r="C234" t="s">
        <v>12</v>
      </c>
      <c r="D234" s="20">
        <f>VLOOKUP(الحركات[[#This Row],[من صندوق]],Table5[],5,0)</f>
        <v>400</v>
      </c>
      <c r="E234" t="s">
        <v>22</v>
      </c>
      <c r="F234" s="20">
        <f>VLOOKUP(الحركات[[#This Row],[إلى صندوق]],Table5[[الصندوق]:[الرصيد الفعلي]],5,0)</f>
        <v>200</v>
      </c>
      <c r="G234" s="20">
        <f>IF(VLOOKUP(الحركات[إلى صندوق],Table1[],3,0)=0,VLOOKUP(الحركات[[#This Row],[من صندوق]],Table1[[الصندوق]:[القيمة الشهرية]],3,0),VLOOKUP(الحركات[إلى صندوق],Table1[],3,0))</f>
        <v>200</v>
      </c>
      <c r="H234" s="22">
        <v>400</v>
      </c>
      <c r="I234" s="22"/>
      <c r="J234" t="s">
        <v>89</v>
      </c>
      <c r="L234" s="13" t="b">
        <f ca="1">AND(الحركات[[#This Row],[مدفوع من شهر]]&lt;=VALUE(TEXT($A$2,"YYYYMM")),الحركات[[#This Row],[الحالة]]="")</f>
        <v>0</v>
      </c>
      <c r="M234" s="13" t="str">
        <f>الحركات[من صندوق]&amp;"/"&amp;الحركات[إلى صندوق]</f>
        <v>اجازات/زكاة</v>
      </c>
      <c r="N234" s="13" t="str">
        <f>VLOOKUP(الحركات[من صندوق],Table1[],2,0)</f>
        <v>صرف</v>
      </c>
      <c r="O234" s="13" t="str">
        <f>VLOOKUP(الحركات[إلى صندوق],Table1[[الصندوق]:[نوعه]],2,0)</f>
        <v>صرف</v>
      </c>
    </row>
    <row r="235" spans="1:15" x14ac:dyDescent="0.3">
      <c r="A235">
        <v>201811</v>
      </c>
      <c r="B235" s="3"/>
      <c r="C235" t="s">
        <v>21</v>
      </c>
      <c r="D235" s="15">
        <f>VLOOKUP(الحركات[[#This Row],[من صندوق]],Table5[],5,0)</f>
        <v>1500</v>
      </c>
      <c r="E235" t="s">
        <v>22</v>
      </c>
      <c r="F235" s="15">
        <f>VLOOKUP(الحركات[[#This Row],[إلى صندوق]],Table5[[الصندوق]:[الرصيد الفعلي]],5,0)</f>
        <v>200</v>
      </c>
      <c r="G235" s="15">
        <f>IF(VLOOKUP(الحركات[إلى صندوق],Table1[],3,0)=0,VLOOKUP(الحركات[[#This Row],[من صندوق]],Table1[[الصندوق]:[القيمة الشهرية]],3,0),VLOOKUP(الحركات[إلى صندوق],Table1[],3,0))</f>
        <v>200</v>
      </c>
      <c r="H235" s="22">
        <v>750</v>
      </c>
      <c r="I235" s="22"/>
      <c r="J235" t="s">
        <v>89</v>
      </c>
      <c r="L235" s="2" t="b">
        <f ca="1">AND(الحركات[[#This Row],[مدفوع من شهر]]&lt;=VALUE(TEXT($A$2,"YYYYMM")),الحركات[[#This Row],[الحالة]]="")</f>
        <v>0</v>
      </c>
      <c r="M235" s="2" t="str">
        <f>الحركات[من صندوق]&amp;"/"&amp;الحركات[إلى صندوق]</f>
        <v>ايجار المنزل/زكاة</v>
      </c>
      <c r="N235" s="2" t="str">
        <f>VLOOKUP(الحركات[من صندوق],Table1[],2,0)</f>
        <v>صرف</v>
      </c>
      <c r="O235" s="2" t="str">
        <f>VLOOKUP(الحركات[إلى صندوق],Table1[[الصندوق]:[نوعه]],2,0)</f>
        <v>صرف</v>
      </c>
    </row>
    <row r="236" spans="1:15" x14ac:dyDescent="0.3">
      <c r="A236">
        <v>201811</v>
      </c>
      <c r="B236" s="3"/>
      <c r="C236" t="s">
        <v>22</v>
      </c>
      <c r="D236" s="21">
        <f>VLOOKUP(الحركات[[#This Row],[من صندوق]],Table5[],5,0)</f>
        <v>200</v>
      </c>
      <c r="E236" t="s">
        <v>3</v>
      </c>
      <c r="F236" s="21">
        <f>VLOOKUP(الحركات[[#This Row],[إلى صندوق]],Table5[[الصندوق]:[الرصيد الفعلي]],5,0)</f>
        <v>2000</v>
      </c>
      <c r="G236" s="21">
        <f>IF(VLOOKUP(الحركات[إلى صندوق],Table1[],3,0)=0,VLOOKUP(الحركات[[#This Row],[من صندوق]],Table1[[الصندوق]:[القيمة الشهرية]],3,0),VLOOKUP(الحركات[إلى صندوق],Table1[],3,0))</f>
        <v>2000</v>
      </c>
      <c r="H236" s="22">
        <v>1400</v>
      </c>
      <c r="I236" s="22"/>
      <c r="J236" t="s">
        <v>88</v>
      </c>
      <c r="L236" s="14" t="b">
        <f ca="1">AND(الحركات[[#This Row],[مدفوع من شهر]]&lt;=VALUE(TEXT($A$2,"YYYYMM")),الحركات[[#This Row],[الحالة]]="")</f>
        <v>0</v>
      </c>
      <c r="M236" s="14" t="str">
        <f>الحركات[من صندوق]&amp;"/"&amp;الحركات[إلى صندوق]</f>
        <v>زكاة/مدارس</v>
      </c>
      <c r="N236" s="14" t="str">
        <f>VLOOKUP(الحركات[من صندوق],Table1[],2,0)</f>
        <v>صرف</v>
      </c>
      <c r="O236" s="14" t="str">
        <f>VLOOKUP(الحركات[إلى صندوق],Table1[[الصندوق]:[نوعه]],2,0)</f>
        <v>صرف</v>
      </c>
    </row>
    <row r="237" spans="1:15" x14ac:dyDescent="0.3">
      <c r="A237">
        <v>201811</v>
      </c>
      <c r="B237" s="3"/>
      <c r="C237" t="s">
        <v>21</v>
      </c>
      <c r="D237" s="21">
        <f>VLOOKUP(الحركات[[#This Row],[من صندوق]],Table5[],5,0)</f>
        <v>1500</v>
      </c>
      <c r="E237" t="s">
        <v>3</v>
      </c>
      <c r="F237" s="21">
        <f>VLOOKUP(الحركات[[#This Row],[إلى صندوق]],Table5[[الصندوق]:[الرصيد الفعلي]],5,0)</f>
        <v>2000</v>
      </c>
      <c r="G237" s="21">
        <f>IF(VLOOKUP(الحركات[إلى صندوق],Table1[],3,0)=0,VLOOKUP(الحركات[[#This Row],[من صندوق]],Table1[[الصندوق]:[القيمة الشهرية]],3,0),VLOOKUP(الحركات[إلى صندوق],Table1[],3,0))</f>
        <v>2000</v>
      </c>
      <c r="H237" s="22">
        <v>600</v>
      </c>
      <c r="I237" s="22"/>
      <c r="J237" t="s">
        <v>88</v>
      </c>
      <c r="L237" s="14" t="b">
        <f ca="1">AND(الحركات[[#This Row],[مدفوع من شهر]]&lt;=VALUE(TEXT($A$2,"YYYYMM")),الحركات[[#This Row],[الحالة]]="")</f>
        <v>0</v>
      </c>
      <c r="M237" s="14" t="str">
        <f>الحركات[من صندوق]&amp;"/"&amp;الحركات[إلى صندوق]</f>
        <v>ايجار المنزل/مدارس</v>
      </c>
      <c r="N237" s="14" t="str">
        <f>VLOOKUP(الحركات[من صندوق],Table1[],2,0)</f>
        <v>صرف</v>
      </c>
      <c r="O237" s="14" t="str">
        <f>VLOOKUP(الحركات[إلى صندوق],Table1[[الصندوق]:[نوعه]],2,0)</f>
        <v>صرف</v>
      </c>
    </row>
    <row r="238" spans="1:15" x14ac:dyDescent="0.3">
      <c r="A238">
        <v>201812</v>
      </c>
      <c r="B238" s="3"/>
      <c r="C238" t="s">
        <v>20</v>
      </c>
      <c r="D238" s="15">
        <f>VLOOKUP(الحركات[[#This Row],[من صندوق]],Table5[],5,0)</f>
        <v>-10000</v>
      </c>
      <c r="E238" t="s">
        <v>18</v>
      </c>
      <c r="F238" s="15">
        <f>VLOOKUP(الحركات[[#This Row],[إلى صندوق]],Table5[[الصندوق]:[الرصيد الفعلي]],5,0)</f>
        <v>225</v>
      </c>
      <c r="G238" s="15">
        <f>IF(VLOOKUP(الحركات[إلى صندوق],Table1[],3,0)=0,VLOOKUP(الحركات[[#This Row],[من صندوق]],Table1[[الصندوق]:[القيمة الشهرية]],3,0),VLOOKUP(الحركات[إلى صندوق],Table1[],3,0))</f>
        <v>10000</v>
      </c>
      <c r="H238" s="22">
        <v>10000</v>
      </c>
      <c r="I238" s="22"/>
      <c r="J238" t="s">
        <v>40</v>
      </c>
      <c r="L238" s="2" t="b">
        <f ca="1">AND(الحركات[[#This Row],[مدفوع من شهر]]&lt;=VALUE(TEXT($A$2,"YYYYMM")),الحركات[[#This Row],[الحالة]]="")</f>
        <v>0</v>
      </c>
      <c r="M238" s="2" t="str">
        <f>الحركات[من صندوق]&amp;"/"&amp;الحركات[إلى صندوق]</f>
        <v>الشركة/الراتب</v>
      </c>
      <c r="N238" s="2" t="str">
        <f>VLOOKUP(الحركات[من صندوق],Table1[],2,0)</f>
        <v>خارجي</v>
      </c>
      <c r="O238" s="2" t="str">
        <f>VLOOKUP(الحركات[إلى صندوق],Table1[[الصندوق]:[نوعه]],2,0)</f>
        <v>دخل</v>
      </c>
    </row>
    <row r="239" spans="1:15" x14ac:dyDescent="0.3">
      <c r="A239">
        <v>201812</v>
      </c>
      <c r="B239" s="3"/>
      <c r="C239" t="s">
        <v>18</v>
      </c>
      <c r="D239" s="15">
        <f>VLOOKUP(الحركات[[#This Row],[من صندوق]],Table5[],5,0)</f>
        <v>225</v>
      </c>
      <c r="E239" t="s">
        <v>11</v>
      </c>
      <c r="F239" s="15">
        <f>VLOOKUP(الحركات[[#This Row],[إلى صندوق]],Table5[[الصندوق]:[الرصيد الفعلي]],5,0)</f>
        <v>0</v>
      </c>
      <c r="G239" s="15">
        <f>IF(VLOOKUP(الحركات[إلى صندوق],Table1[],3,0)=0,VLOOKUP(الحركات[[#This Row],[من صندوق]],Table1[[الصندوق]:[القيمة الشهرية]],3,0),VLOOKUP(الحركات[إلى صندوق],Table1[],3,0))</f>
        <v>250</v>
      </c>
      <c r="H239" s="22">
        <v>250</v>
      </c>
      <c r="I239" s="22"/>
      <c r="J239" t="s">
        <v>47</v>
      </c>
      <c r="L239" s="2" t="b">
        <f ca="1">AND(الحركات[[#This Row],[مدفوع من شهر]]&lt;=VALUE(TEXT($A$2,"YYYYMM")),الحركات[[#This Row],[الحالة]]="")</f>
        <v>0</v>
      </c>
      <c r="M239" s="2" t="str">
        <f>الحركات[من صندوق]&amp;"/"&amp;الحركات[إلى صندوق]</f>
        <v>الراتب/فواتير</v>
      </c>
      <c r="N239" s="2" t="str">
        <f>VLOOKUP(الحركات[من صندوق],Table1[],2,0)</f>
        <v>دخل</v>
      </c>
      <c r="O239" s="2" t="str">
        <f>VLOOKUP(الحركات[إلى صندوق],Table1[[الصندوق]:[نوعه]],2,0)</f>
        <v>صرف</v>
      </c>
    </row>
    <row r="240" spans="1:15" x14ac:dyDescent="0.3">
      <c r="A240">
        <v>201812</v>
      </c>
      <c r="B240" s="3"/>
      <c r="C240" t="s">
        <v>18</v>
      </c>
      <c r="D240" s="15">
        <f>VLOOKUP(الحركات[[#This Row],[من صندوق]],Table5[],5,0)</f>
        <v>225</v>
      </c>
      <c r="E240" t="s">
        <v>13</v>
      </c>
      <c r="F240" s="15">
        <f>VLOOKUP(الحركات[[#This Row],[إلى صندوق]],Table5[[الصندوق]:[الرصيد الفعلي]],5,0)</f>
        <v>0</v>
      </c>
      <c r="G240" s="15">
        <f>IF(VLOOKUP(الحركات[إلى صندوق],Table1[],3,0)=0,VLOOKUP(الحركات[[#This Row],[من صندوق]],Table1[[الصندوق]:[القيمة الشهرية]],3,0),VLOOKUP(الحركات[إلى صندوق],Table1[],3,0))</f>
        <v>3800</v>
      </c>
      <c r="H240" s="22">
        <v>3800</v>
      </c>
      <c r="I240" s="22"/>
      <c r="J240" t="s">
        <v>48</v>
      </c>
      <c r="L240" s="2" t="b">
        <f ca="1">AND(الحركات[[#This Row],[مدفوع من شهر]]&lt;=VALUE(TEXT($A$2,"YYYYMM")),الحركات[[#This Row],[الحالة]]="")</f>
        <v>0</v>
      </c>
      <c r="M240" s="2" t="str">
        <f>الحركات[من صندوق]&amp;"/"&amp;الحركات[إلى صندوق]</f>
        <v>الراتب/مصاريف شهرية</v>
      </c>
      <c r="N240" s="2" t="str">
        <f>VLOOKUP(الحركات[من صندوق],Table1[],2,0)</f>
        <v>دخل</v>
      </c>
      <c r="O240" s="2" t="str">
        <f>VLOOKUP(الحركات[إلى صندوق],Table1[[الصندوق]:[نوعه]],2,0)</f>
        <v>صرف</v>
      </c>
    </row>
    <row r="241" spans="1:15" x14ac:dyDescent="0.3">
      <c r="A241">
        <v>201812</v>
      </c>
      <c r="B241" s="3"/>
      <c r="C241" t="s">
        <v>18</v>
      </c>
      <c r="D241" s="15">
        <f>VLOOKUP(الحركات[[#This Row],[من صندوق]],Table5[],5,0)</f>
        <v>225</v>
      </c>
      <c r="E241" t="s">
        <v>3</v>
      </c>
      <c r="F241" s="15">
        <f>VLOOKUP(الحركات[[#This Row],[إلى صندوق]],Table5[[الصندوق]:[الرصيد الفعلي]],5,0)</f>
        <v>2000</v>
      </c>
      <c r="G241" s="15">
        <f>IF(VLOOKUP(الحركات[إلى صندوق],Table1[],3,0)=0,VLOOKUP(الحركات[[#This Row],[من صندوق]],Table1[[الصندوق]:[القيمة الشهرية]],3,0),VLOOKUP(الحركات[إلى صندوق],Table1[],3,0))</f>
        <v>2000</v>
      </c>
      <c r="H241" s="22">
        <v>2000</v>
      </c>
      <c r="I241" s="22"/>
      <c r="J241" t="s">
        <v>49</v>
      </c>
      <c r="L241" s="2" t="b">
        <f ca="1">AND(الحركات[[#This Row],[مدفوع من شهر]]&lt;=VALUE(TEXT($A$2,"YYYYMM")),الحركات[[#This Row],[الحالة]]="")</f>
        <v>0</v>
      </c>
      <c r="M241" s="2" t="str">
        <f>الحركات[من صندوق]&amp;"/"&amp;الحركات[إلى صندوق]</f>
        <v>الراتب/مدارس</v>
      </c>
      <c r="N241" s="2" t="str">
        <f>VLOOKUP(الحركات[من صندوق],Table1[],2,0)</f>
        <v>دخل</v>
      </c>
      <c r="O241" s="2" t="str">
        <f>VLOOKUP(الحركات[إلى صندوق],Table1[[الصندوق]:[نوعه]],2,0)</f>
        <v>صرف</v>
      </c>
    </row>
    <row r="242" spans="1:15" x14ac:dyDescent="0.3">
      <c r="A242">
        <v>201812</v>
      </c>
      <c r="B242" s="3"/>
      <c r="C242" t="s">
        <v>18</v>
      </c>
      <c r="D242" s="15">
        <f>VLOOKUP(الحركات[[#This Row],[من صندوق]],Table5[],5,0)</f>
        <v>225</v>
      </c>
      <c r="E242" t="s">
        <v>21</v>
      </c>
      <c r="F242" s="15">
        <f>VLOOKUP(الحركات[[#This Row],[إلى صندوق]],Table5[[الصندوق]:[الرصيد الفعلي]],5,0)</f>
        <v>1500</v>
      </c>
      <c r="G242" s="15">
        <f>IF(VLOOKUP(الحركات[إلى صندوق],Table1[],3,0)=0,VLOOKUP(الحركات[[#This Row],[من صندوق]],Table1[[الصندوق]:[القيمة الشهرية]],3,0),VLOOKUP(الحركات[إلى صندوق],Table1[],3,0))</f>
        <v>1500</v>
      </c>
      <c r="H242" s="22">
        <v>1500</v>
      </c>
      <c r="I242" s="22"/>
      <c r="J242" t="s">
        <v>50</v>
      </c>
      <c r="L242" s="2" t="b">
        <f ca="1">AND(الحركات[[#This Row],[مدفوع من شهر]]&lt;=VALUE(TEXT($A$2,"YYYYMM")),الحركات[[#This Row],[الحالة]]="")</f>
        <v>0</v>
      </c>
      <c r="M242" s="2" t="str">
        <f>الحركات[من صندوق]&amp;"/"&amp;الحركات[إلى صندوق]</f>
        <v>الراتب/ايجار المنزل</v>
      </c>
      <c r="N242" s="2" t="str">
        <f>VLOOKUP(الحركات[من صندوق],Table1[],2,0)</f>
        <v>دخل</v>
      </c>
      <c r="O242" s="2" t="str">
        <f>VLOOKUP(الحركات[إلى صندوق],Table1[[الصندوق]:[نوعه]],2,0)</f>
        <v>صرف</v>
      </c>
    </row>
    <row r="243" spans="1:15" x14ac:dyDescent="0.3">
      <c r="A243">
        <v>201812</v>
      </c>
      <c r="B243" s="3"/>
      <c r="C243" t="s">
        <v>18</v>
      </c>
      <c r="D243" s="15">
        <f>VLOOKUP(الحركات[[#This Row],[من صندوق]],Table5[],5,0)</f>
        <v>225</v>
      </c>
      <c r="E243" t="s">
        <v>0</v>
      </c>
      <c r="F243" s="15">
        <f>VLOOKUP(الحركات[[#This Row],[إلى صندوق]],Table5[[الصندوق]:[الرصيد الفعلي]],5,0)</f>
        <v>0</v>
      </c>
      <c r="G243" s="15">
        <f>IF(VLOOKUP(الحركات[إلى صندوق],Table1[],3,0)=0,VLOOKUP(الحركات[[#This Row],[من صندوق]],Table1[[الصندوق]:[القيمة الشهرية]],3,0),VLOOKUP(الحركات[إلى صندوق],Table1[],3,0))</f>
        <v>500</v>
      </c>
      <c r="H243" s="22">
        <v>500</v>
      </c>
      <c r="I243" s="22"/>
      <c r="J243" t="s">
        <v>51</v>
      </c>
      <c r="L243" s="2" t="b">
        <f ca="1">AND(الحركات[[#This Row],[مدفوع من شهر]]&lt;=VALUE(TEXT($A$2,"YYYYMM")),الحركات[[#This Row],[الحالة]]="")</f>
        <v>0</v>
      </c>
      <c r="M243" s="2" t="str">
        <f>الحركات[من صندوق]&amp;"/"&amp;الحركات[إلى صندوق]</f>
        <v>الراتب/توفير</v>
      </c>
      <c r="N243" s="2" t="str">
        <f>VLOOKUP(الحركات[من صندوق],Table1[],2,0)</f>
        <v>دخل</v>
      </c>
      <c r="O243" s="2" t="str">
        <f>VLOOKUP(الحركات[إلى صندوق],Table1[[الصندوق]:[نوعه]],2,0)</f>
        <v>صرف</v>
      </c>
    </row>
    <row r="244" spans="1:15" x14ac:dyDescent="0.3">
      <c r="A244">
        <v>201812</v>
      </c>
      <c r="B244" s="3"/>
      <c r="C244" t="s">
        <v>18</v>
      </c>
      <c r="D244" s="15">
        <f>VLOOKUP(الحركات[[#This Row],[من صندوق]],Table5[],5,0)</f>
        <v>225</v>
      </c>
      <c r="E244" t="s">
        <v>12</v>
      </c>
      <c r="F244" s="15">
        <f>VLOOKUP(الحركات[[#This Row],[إلى صندوق]],Table5[[الصندوق]:[الرصيد الفعلي]],5,0)</f>
        <v>400</v>
      </c>
      <c r="G244" s="15">
        <f>IF(VLOOKUP(الحركات[إلى صندوق],Table1[],3,0)=0,VLOOKUP(الحركات[[#This Row],[من صندوق]],Table1[[الصندوق]:[القيمة الشهرية]],3,0),VLOOKUP(الحركات[إلى صندوق],Table1[],3,0))</f>
        <v>400</v>
      </c>
      <c r="H244" s="22">
        <v>400</v>
      </c>
      <c r="I244" s="22"/>
      <c r="J244" t="s">
        <v>52</v>
      </c>
      <c r="L244" s="2" t="b">
        <f ca="1">AND(الحركات[[#This Row],[مدفوع من شهر]]&lt;=VALUE(TEXT($A$2,"YYYYMM")),الحركات[[#This Row],[الحالة]]="")</f>
        <v>0</v>
      </c>
      <c r="M244" s="2" t="str">
        <f>الحركات[من صندوق]&amp;"/"&amp;الحركات[إلى صندوق]</f>
        <v>الراتب/اجازات</v>
      </c>
      <c r="N244" s="2" t="str">
        <f>VLOOKUP(الحركات[من صندوق],Table1[],2,0)</f>
        <v>دخل</v>
      </c>
      <c r="O244" s="2" t="str">
        <f>VLOOKUP(الحركات[إلى صندوق],Table1[[الصندوق]:[نوعه]],2,0)</f>
        <v>صرف</v>
      </c>
    </row>
    <row r="245" spans="1:15" x14ac:dyDescent="0.3">
      <c r="A245">
        <v>201812</v>
      </c>
      <c r="B245" s="3"/>
      <c r="C245" t="s">
        <v>18</v>
      </c>
      <c r="D245" s="15">
        <f>VLOOKUP(الحركات[[#This Row],[من صندوق]],Table5[],5,0)</f>
        <v>225</v>
      </c>
      <c r="E245" t="s">
        <v>9</v>
      </c>
      <c r="F245" s="15">
        <f>VLOOKUP(الحركات[[#This Row],[إلى صندوق]],Table5[[الصندوق]:[الرصيد الفعلي]],5,0)</f>
        <v>200</v>
      </c>
      <c r="G245" s="15">
        <f>IF(VLOOKUP(الحركات[إلى صندوق],Table1[],3,0)=0,VLOOKUP(الحركات[[#This Row],[من صندوق]],Table1[[الصندوق]:[القيمة الشهرية]],3,0),VLOOKUP(الحركات[إلى صندوق],Table1[],3,0))</f>
        <v>200</v>
      </c>
      <c r="H245" s="22">
        <v>200</v>
      </c>
      <c r="I245" s="22"/>
      <c r="J245" t="s">
        <v>53</v>
      </c>
      <c r="L245" s="2" t="b">
        <f ca="1">AND(الحركات[[#This Row],[مدفوع من شهر]]&lt;=VALUE(TEXT($A$2,"YYYYMM")),الحركات[[#This Row],[الحالة]]="")</f>
        <v>0</v>
      </c>
      <c r="M245" s="2" t="str">
        <f>الحركات[من صندوق]&amp;"/"&amp;الحركات[إلى صندوق]</f>
        <v>الراتب/دورات</v>
      </c>
      <c r="N245" s="2" t="str">
        <f>VLOOKUP(الحركات[من صندوق],Table1[],2,0)</f>
        <v>دخل</v>
      </c>
      <c r="O245" s="2" t="str">
        <f>VLOOKUP(الحركات[إلى صندوق],Table1[[الصندوق]:[نوعه]],2,0)</f>
        <v>صرف</v>
      </c>
    </row>
    <row r="246" spans="1:15" x14ac:dyDescent="0.3">
      <c r="A246">
        <v>201812</v>
      </c>
      <c r="B246" s="3"/>
      <c r="C246" t="s">
        <v>18</v>
      </c>
      <c r="D246" s="15">
        <f>VLOOKUP(الحركات[[#This Row],[من صندوق]],Table5[],5,0)</f>
        <v>225</v>
      </c>
      <c r="E246" t="s">
        <v>22</v>
      </c>
      <c r="F246" s="15">
        <f>VLOOKUP(الحركات[[#This Row],[إلى صندوق]],Table5[[الصندوق]:[الرصيد الفعلي]],5,0)</f>
        <v>200</v>
      </c>
      <c r="G246" s="15">
        <f>IF(VLOOKUP(الحركات[إلى صندوق],Table1[],3,0)=0,VLOOKUP(الحركات[[#This Row],[من صندوق]],Table1[[الصندوق]:[القيمة الشهرية]],3,0),VLOOKUP(الحركات[إلى صندوق],Table1[],3,0))</f>
        <v>200</v>
      </c>
      <c r="H246" s="22">
        <v>200</v>
      </c>
      <c r="I246" s="22"/>
      <c r="J246" t="s">
        <v>54</v>
      </c>
      <c r="L246" s="2" t="b">
        <f ca="1">AND(الحركات[[#This Row],[مدفوع من شهر]]&lt;=VALUE(TEXT($A$2,"YYYYMM")),الحركات[[#This Row],[الحالة]]="")</f>
        <v>0</v>
      </c>
      <c r="M246" s="2" t="str">
        <f>الحركات[من صندوق]&amp;"/"&amp;الحركات[إلى صندوق]</f>
        <v>الراتب/زكاة</v>
      </c>
      <c r="N246" s="2" t="str">
        <f>VLOOKUP(الحركات[من صندوق],Table1[],2,0)</f>
        <v>دخل</v>
      </c>
      <c r="O246" s="2" t="str">
        <f>VLOOKUP(الحركات[إلى صندوق],Table1[[الصندوق]:[نوعه]],2,0)</f>
        <v>صرف</v>
      </c>
    </row>
    <row r="247" spans="1:15" x14ac:dyDescent="0.3">
      <c r="A247">
        <v>201812</v>
      </c>
      <c r="B247" s="3"/>
      <c r="C247" t="s">
        <v>18</v>
      </c>
      <c r="D247" s="15">
        <f>VLOOKUP(الحركات[[#This Row],[من صندوق]],Table5[],5,0)</f>
        <v>225</v>
      </c>
      <c r="E247" t="s">
        <v>10</v>
      </c>
      <c r="F247" s="15">
        <f>VLOOKUP(الحركات[[#This Row],[إلى صندوق]],Table5[[الصندوق]:[الرصيد الفعلي]],5,0)</f>
        <v>250</v>
      </c>
      <c r="G247" s="15">
        <f>IF(VLOOKUP(الحركات[إلى صندوق],Table1[],3,0)=0,VLOOKUP(الحركات[[#This Row],[من صندوق]],Table1[[الصندوق]:[القيمة الشهرية]],3,0),VLOOKUP(الحركات[إلى صندوق],Table1[],3,0))</f>
        <v>250</v>
      </c>
      <c r="H247" s="22">
        <v>250</v>
      </c>
      <c r="I247" s="22"/>
      <c r="J247" t="s">
        <v>55</v>
      </c>
      <c r="L247" s="2" t="b">
        <f ca="1">AND(الحركات[[#This Row],[مدفوع من شهر]]&lt;=VALUE(TEXT($A$2,"YYYYMM")),الحركات[[#This Row],[الحالة]]="")</f>
        <v>0</v>
      </c>
      <c r="M247" s="2" t="str">
        <f>الحركات[من صندوق]&amp;"/"&amp;الحركات[إلى صندوق]</f>
        <v>الراتب/صيانة السيارة</v>
      </c>
      <c r="N247" s="2" t="str">
        <f>VLOOKUP(الحركات[من صندوق],Table1[],2,0)</f>
        <v>دخل</v>
      </c>
      <c r="O247" s="2" t="str">
        <f>VLOOKUP(الحركات[إلى صندوق],Table1[[الصندوق]:[نوعه]],2,0)</f>
        <v>صرف</v>
      </c>
    </row>
    <row r="248" spans="1:15" x14ac:dyDescent="0.3">
      <c r="A248">
        <v>201812</v>
      </c>
      <c r="B248" s="3"/>
      <c r="C248" t="s">
        <v>18</v>
      </c>
      <c r="D248" s="15">
        <f>VLOOKUP(الحركات[[#This Row],[من صندوق]],Table5[],5,0)</f>
        <v>225</v>
      </c>
      <c r="E248" t="s">
        <v>15</v>
      </c>
      <c r="F248" s="15">
        <f>VLOOKUP(الحركات[[#This Row],[إلى صندوق]],Table5[[الصندوق]:[الرصيد الفعلي]],5,0)</f>
        <v>0</v>
      </c>
      <c r="G248" s="15">
        <f>IF(VLOOKUP(الحركات[إلى صندوق],Table1[],3,0)=0,VLOOKUP(الحركات[[#This Row],[من صندوق]],Table1[[الصندوق]:[القيمة الشهرية]],3,0),VLOOKUP(الحركات[إلى صندوق],Table1[],3,0))</f>
        <v>285</v>
      </c>
      <c r="H248" s="22">
        <v>285</v>
      </c>
      <c r="I248" s="22"/>
      <c r="J248" t="s">
        <v>56</v>
      </c>
      <c r="L248" s="2" t="b">
        <f ca="1">AND(الحركات[[#This Row],[مدفوع من شهر]]&lt;=VALUE(TEXT($A$2,"YYYYMM")),الحركات[[#This Row],[الحالة]]="")</f>
        <v>0</v>
      </c>
      <c r="M248" s="2" t="str">
        <f>الحركات[من صندوق]&amp;"/"&amp;الحركات[إلى صندوق]</f>
        <v>الراتب/ملابس</v>
      </c>
      <c r="N248" s="2" t="str">
        <f>VLOOKUP(الحركات[من صندوق],Table1[],2,0)</f>
        <v>دخل</v>
      </c>
      <c r="O248" s="2" t="str">
        <f>VLOOKUP(الحركات[إلى صندوق],Table1[[الصندوق]:[نوعه]],2,0)</f>
        <v>صرف</v>
      </c>
    </row>
    <row r="249" spans="1:15" x14ac:dyDescent="0.3">
      <c r="A249">
        <v>201812</v>
      </c>
      <c r="B249" s="3"/>
      <c r="C249" t="s">
        <v>18</v>
      </c>
      <c r="D249" s="15">
        <f>VLOOKUP(الحركات[[#This Row],[من صندوق]],Table5[],5,0)</f>
        <v>225</v>
      </c>
      <c r="E249" t="s">
        <v>1</v>
      </c>
      <c r="F249" s="15">
        <f>VLOOKUP(الحركات[[#This Row],[إلى صندوق]],Table5[[الصندوق]:[الرصيد الفعلي]],5,0)</f>
        <v>0</v>
      </c>
      <c r="G249" s="15">
        <f>IF(VLOOKUP(الحركات[إلى صندوق],Table1[],3,0)=0,VLOOKUP(الحركات[[#This Row],[من صندوق]],Table1[[الصندوق]:[القيمة الشهرية]],3,0),VLOOKUP(الحركات[إلى صندوق],Table1[],3,0))</f>
        <v>190</v>
      </c>
      <c r="H249" s="22">
        <v>190</v>
      </c>
      <c r="I249" s="22"/>
      <c r="J249" t="s">
        <v>57</v>
      </c>
      <c r="L249" s="2" t="b">
        <f ca="1">AND(الحركات[[#This Row],[مدفوع من شهر]]&lt;=VALUE(TEXT($A$2,"YYYYMM")),الحركات[[#This Row],[الحالة]]="")</f>
        <v>0</v>
      </c>
      <c r="M249" s="2" t="str">
        <f>الحركات[من صندوق]&amp;"/"&amp;الحركات[إلى صندوق]</f>
        <v>الراتب/هدايا</v>
      </c>
      <c r="N249" s="2" t="str">
        <f>VLOOKUP(الحركات[من صندوق],Table1[],2,0)</f>
        <v>دخل</v>
      </c>
      <c r="O249" s="2" t="str">
        <f>VLOOKUP(الحركات[إلى صندوق],Table1[[الصندوق]:[نوعه]],2,0)</f>
        <v>صرف</v>
      </c>
    </row>
    <row r="250" spans="1:15" x14ac:dyDescent="0.3">
      <c r="A250">
        <v>201812</v>
      </c>
      <c r="B250" s="3"/>
      <c r="C250" t="s">
        <v>18</v>
      </c>
      <c r="D250" s="15">
        <f>VLOOKUP(الحركات[[#This Row],[من صندوق]],Table5[],5,0)</f>
        <v>225</v>
      </c>
      <c r="E250" t="s">
        <v>4</v>
      </c>
      <c r="F250" s="15">
        <f>VLOOKUP(الحركات[[#This Row],[إلى صندوق]],Table5[[الصندوق]:[الرصيد الفعلي]],5,0)</f>
        <v>200</v>
      </c>
      <c r="G250" s="15">
        <f>IF(VLOOKUP(الحركات[إلى صندوق],Table1[],3,0)=0,VLOOKUP(الحركات[[#This Row],[من صندوق]],Table1[[الصندوق]:[القيمة الشهرية]],3,0),VLOOKUP(الحركات[إلى صندوق],Table1[],3,0))</f>
        <v>200</v>
      </c>
      <c r="H250" s="22">
        <v>200</v>
      </c>
      <c r="I250" s="22"/>
      <c r="J250" t="s">
        <v>58</v>
      </c>
      <c r="L250" s="2" t="b">
        <f ca="1">AND(الحركات[[#This Row],[مدفوع من شهر]]&lt;=VALUE(TEXT($A$2,"YYYYMM")),الحركات[[#This Row],[الحالة]]="")</f>
        <v>0</v>
      </c>
      <c r="M250" s="2" t="str">
        <f>الحركات[من صندوق]&amp;"/"&amp;الحركات[إلى صندوق]</f>
        <v>الراتب/طوارئ</v>
      </c>
      <c r="N250" s="2" t="str">
        <f>VLOOKUP(الحركات[من صندوق],Table1[],2,0)</f>
        <v>دخل</v>
      </c>
      <c r="O250" s="2" t="str">
        <f>VLOOKUP(الحركات[إلى صندوق],Table1[[الصندوق]:[نوعه]],2,0)</f>
        <v>صرف</v>
      </c>
    </row>
    <row r="251" spans="1:15" x14ac:dyDescent="0.3">
      <c r="A251">
        <v>201812</v>
      </c>
      <c r="B251" s="3"/>
      <c r="C251" t="s">
        <v>11</v>
      </c>
      <c r="D251" s="16">
        <f>VLOOKUP(الحركات[[#This Row],[من صندوق]],Table5[],5,0)</f>
        <v>0</v>
      </c>
      <c r="E251" t="s">
        <v>14</v>
      </c>
      <c r="F251" s="16">
        <f>VLOOKUP(الحركات[[#This Row],[إلى صندوق]],Table5[[الصندوق]:[الرصيد الفعلي]],5,0)</f>
        <v>5025</v>
      </c>
      <c r="G251" s="16">
        <f>IF(VLOOKUP(الحركات[إلى صندوق],Table1[],3,0)=0,VLOOKUP(الحركات[[#This Row],[من صندوق]],Table1[[الصندوق]:[القيمة الشهرية]],3,0),VLOOKUP(الحركات[إلى صندوق],Table1[],3,0))</f>
        <v>250</v>
      </c>
      <c r="H251" s="22">
        <v>250</v>
      </c>
      <c r="I251" s="22"/>
      <c r="J251" t="s">
        <v>59</v>
      </c>
      <c r="L251" s="7" t="b">
        <f ca="1">AND(الحركات[[#This Row],[مدفوع من شهر]]&lt;=VALUE(TEXT($A$2,"YYYYMM")),الحركات[[#This Row],[الحالة]]="")</f>
        <v>0</v>
      </c>
      <c r="M251" s="7" t="str">
        <f>الحركات[من صندوق]&amp;"/"&amp;الحركات[إلى صندوق]</f>
        <v>فواتير/صرف</v>
      </c>
      <c r="N251" s="7" t="str">
        <f>VLOOKUP(الحركات[من صندوق],Table1[],2,0)</f>
        <v>صرف</v>
      </c>
      <c r="O251" s="7" t="str">
        <f>VLOOKUP(الحركات[إلى صندوق],Table1[[الصندوق]:[نوعه]],2,0)</f>
        <v>خارجي</v>
      </c>
    </row>
    <row r="252" spans="1:15" x14ac:dyDescent="0.3">
      <c r="A252">
        <v>201812</v>
      </c>
      <c r="B252" s="3"/>
      <c r="C252" t="s">
        <v>13</v>
      </c>
      <c r="D252" s="16">
        <f>VLOOKUP(الحركات[[#This Row],[من صندوق]],Table5[],5,0)</f>
        <v>0</v>
      </c>
      <c r="E252" t="s">
        <v>14</v>
      </c>
      <c r="F252" s="16">
        <f>VLOOKUP(الحركات[[#This Row],[إلى صندوق]],Table5[[الصندوق]:[الرصيد الفعلي]],5,0)</f>
        <v>5025</v>
      </c>
      <c r="G252" s="16">
        <f>IF(VLOOKUP(الحركات[إلى صندوق],Table1[],3,0)=0,VLOOKUP(الحركات[[#This Row],[من صندوق]],Table1[[الصندوق]:[القيمة الشهرية]],3,0),VLOOKUP(الحركات[إلى صندوق],Table1[],3,0))</f>
        <v>3800</v>
      </c>
      <c r="H252" s="22">
        <v>3800</v>
      </c>
      <c r="I252" s="22"/>
      <c r="J252" t="s">
        <v>60</v>
      </c>
      <c r="L252" s="7" t="b">
        <f ca="1">AND(الحركات[[#This Row],[مدفوع من شهر]]&lt;=VALUE(TEXT($A$2,"YYYYMM")),الحركات[[#This Row],[الحالة]]="")</f>
        <v>0</v>
      </c>
      <c r="M252" s="7" t="str">
        <f>الحركات[من صندوق]&amp;"/"&amp;الحركات[إلى صندوق]</f>
        <v>مصاريف شهرية/صرف</v>
      </c>
      <c r="N252" s="7" t="str">
        <f>VLOOKUP(الحركات[من صندوق],Table1[],2,0)</f>
        <v>صرف</v>
      </c>
      <c r="O252" s="7" t="str">
        <f>VLOOKUP(الحركات[إلى صندوق],Table1[[الصندوق]:[نوعه]],2,0)</f>
        <v>خارجي</v>
      </c>
    </row>
    <row r="253" spans="1:15" x14ac:dyDescent="0.3">
      <c r="A253">
        <v>201812</v>
      </c>
      <c r="B253" s="3"/>
      <c r="C253" t="s">
        <v>0</v>
      </c>
      <c r="D253" s="16">
        <f>VLOOKUP(الحركات[[#This Row],[من صندوق]],Table5[],5,0)</f>
        <v>0</v>
      </c>
      <c r="E253" t="s">
        <v>14</v>
      </c>
      <c r="F253" s="16">
        <f>VLOOKUP(الحركات[[#This Row],[إلى صندوق]],Table5[[الصندوق]:[الرصيد الفعلي]],5,0)</f>
        <v>5025</v>
      </c>
      <c r="G253" s="16">
        <f>IF(VLOOKUP(الحركات[إلى صندوق],Table1[],3,0)=0,VLOOKUP(الحركات[[#This Row],[من صندوق]],Table1[[الصندوق]:[القيمة الشهرية]],3,0),VLOOKUP(الحركات[إلى صندوق],Table1[],3,0))</f>
        <v>500</v>
      </c>
      <c r="H253" s="22">
        <v>500</v>
      </c>
      <c r="I253" s="22"/>
      <c r="J253" t="s">
        <v>66</v>
      </c>
      <c r="L253" s="7" t="b">
        <f ca="1">AND(الحركات[[#This Row],[مدفوع من شهر]]&lt;=VALUE(TEXT($A$2,"YYYYMM")),الحركات[[#This Row],[الحالة]]="")</f>
        <v>0</v>
      </c>
      <c r="M253" s="7" t="str">
        <f>الحركات[من صندوق]&amp;"/"&amp;الحركات[إلى صندوق]</f>
        <v>توفير/صرف</v>
      </c>
      <c r="N253" s="7" t="str">
        <f>VLOOKUP(الحركات[من صندوق],Table1[],2,0)</f>
        <v>صرف</v>
      </c>
      <c r="O253" s="7" t="str">
        <f>VLOOKUP(الحركات[إلى صندوق],Table1[[الصندوق]:[نوعه]],2,0)</f>
        <v>خارجي</v>
      </c>
    </row>
    <row r="254" spans="1:15" x14ac:dyDescent="0.3">
      <c r="A254">
        <v>201812</v>
      </c>
      <c r="B254" s="3"/>
      <c r="C254" t="s">
        <v>22</v>
      </c>
      <c r="D254" s="17">
        <f>VLOOKUP(الحركات[[#This Row],[من صندوق]],Table5[],5,0)</f>
        <v>200</v>
      </c>
      <c r="E254" t="s">
        <v>14</v>
      </c>
      <c r="F254" s="17">
        <f>VLOOKUP(الحركات[[#This Row],[إلى صندوق]],Table5[[الصندوق]:[الرصيد الفعلي]],5,0)</f>
        <v>5025</v>
      </c>
      <c r="G254" s="17">
        <f>IF(VLOOKUP(الحركات[إلى صندوق],Table1[],3,0)=0,VLOOKUP(الحركات[[#This Row],[من صندوق]],Table1[[الصندوق]:[القيمة الشهرية]],3,0),VLOOKUP(الحركات[إلى صندوق],Table1[],3,0))</f>
        <v>200</v>
      </c>
      <c r="H254" s="22">
        <v>2400</v>
      </c>
      <c r="I254" s="22"/>
      <c r="J254" t="s">
        <v>69</v>
      </c>
      <c r="L254" s="8" t="b">
        <f ca="1">AND(الحركات[[#This Row],[مدفوع من شهر]]&lt;=VALUE(TEXT($A$2,"YYYYMM")),الحركات[[#This Row],[الحالة]]="")</f>
        <v>0</v>
      </c>
      <c r="M254" s="8" t="str">
        <f>الحركات[من صندوق]&amp;"/"&amp;الحركات[إلى صندوق]</f>
        <v>زكاة/صرف</v>
      </c>
      <c r="N254" s="8" t="str">
        <f>VLOOKUP(الحركات[من صندوق],Table1[],2,0)</f>
        <v>صرف</v>
      </c>
      <c r="O254" s="8" t="str">
        <f>VLOOKUP(الحركات[إلى صندوق],Table1[[الصندوق]:[نوعه]],2,0)</f>
        <v>خارجي</v>
      </c>
    </row>
    <row r="255" spans="1:15" x14ac:dyDescent="0.3">
      <c r="A255">
        <v>201812</v>
      </c>
      <c r="B255" s="3"/>
      <c r="C255" t="s">
        <v>10</v>
      </c>
      <c r="D255" s="17">
        <f>VLOOKUP(الحركات[[#This Row],[من صندوق]],Table5[],5,0)</f>
        <v>250</v>
      </c>
      <c r="E255" t="s">
        <v>14</v>
      </c>
      <c r="F255" s="17">
        <f>VLOOKUP(الحركات[[#This Row],[إلى صندوق]],Table5[[الصندوق]:[الرصيد الفعلي]],5,0)</f>
        <v>5025</v>
      </c>
      <c r="G255" s="17">
        <f>IF(VLOOKUP(الحركات[إلى صندوق],Table1[],3,0)=0,VLOOKUP(الحركات[[#This Row],[من صندوق]],Table1[[الصندوق]:[القيمة الشهرية]],3,0),VLOOKUP(الحركات[إلى صندوق],Table1[],3,0))</f>
        <v>250</v>
      </c>
      <c r="H255" s="22">
        <v>1500</v>
      </c>
      <c r="I255" s="22"/>
      <c r="J255" t="s">
        <v>70</v>
      </c>
      <c r="L255" s="8" t="b">
        <f ca="1">AND(الحركات[[#This Row],[مدفوع من شهر]]&lt;=VALUE(TEXT($A$2,"YYYYMM")),الحركات[[#This Row],[الحالة]]="")</f>
        <v>0</v>
      </c>
      <c r="M255" s="8" t="str">
        <f>الحركات[من صندوق]&amp;"/"&amp;الحركات[إلى صندوق]</f>
        <v>صيانة السيارة/صرف</v>
      </c>
      <c r="N255" s="8" t="str">
        <f>VLOOKUP(الحركات[من صندوق],Table1[],2,0)</f>
        <v>صرف</v>
      </c>
      <c r="O255" s="8" t="str">
        <f>VLOOKUP(الحركات[إلى صندوق],Table1[[الصندوق]:[نوعه]],2,0)</f>
        <v>خارجي</v>
      </c>
    </row>
    <row r="256" spans="1:15" x14ac:dyDescent="0.3">
      <c r="A256">
        <v>201812</v>
      </c>
      <c r="B256" s="3"/>
      <c r="C256" t="s">
        <v>15</v>
      </c>
      <c r="D256" s="17">
        <f>VLOOKUP(الحركات[[#This Row],[من صندوق]],Table5[],5,0)</f>
        <v>0</v>
      </c>
      <c r="E256" t="s">
        <v>14</v>
      </c>
      <c r="F256" s="17">
        <f>VLOOKUP(الحركات[[#This Row],[إلى صندوق]],Table5[[الصندوق]:[الرصيد الفعلي]],5,0)</f>
        <v>5025</v>
      </c>
      <c r="G256" s="17">
        <f>IF(VLOOKUP(الحركات[إلى صندوق],Table1[],3,0)=0,VLOOKUP(الحركات[[#This Row],[من صندوق]],Table1[[الصندوق]:[القيمة الشهرية]],3,0),VLOOKUP(الحركات[إلى صندوق],Table1[],3,0))</f>
        <v>285</v>
      </c>
      <c r="H256" s="22">
        <v>285</v>
      </c>
      <c r="I256" s="22"/>
      <c r="J256" t="s">
        <v>71</v>
      </c>
      <c r="L256" s="8" t="b">
        <f ca="1">AND(الحركات[[#This Row],[مدفوع من شهر]]&lt;=VALUE(TEXT($A$2,"YYYYMM")),الحركات[[#This Row],[الحالة]]="")</f>
        <v>0</v>
      </c>
      <c r="M256" s="8" t="str">
        <f>الحركات[من صندوق]&amp;"/"&amp;الحركات[إلى صندوق]</f>
        <v>ملابس/صرف</v>
      </c>
      <c r="N256" s="8" t="str">
        <f>VLOOKUP(الحركات[من صندوق],Table1[],2,0)</f>
        <v>صرف</v>
      </c>
      <c r="O256" s="8" t="str">
        <f>VLOOKUP(الحركات[إلى صندوق],Table1[[الصندوق]:[نوعه]],2,0)</f>
        <v>خارجي</v>
      </c>
    </row>
    <row r="257" spans="1:15" x14ac:dyDescent="0.3">
      <c r="A257">
        <v>201812</v>
      </c>
      <c r="B257" s="3"/>
      <c r="C257" t="s">
        <v>1</v>
      </c>
      <c r="D257" s="17">
        <f>VLOOKUP(الحركات[[#This Row],[من صندوق]],Table5[],5,0)</f>
        <v>0</v>
      </c>
      <c r="E257" t="s">
        <v>14</v>
      </c>
      <c r="F257" s="17">
        <f>VLOOKUP(الحركات[[#This Row],[إلى صندوق]],Table5[[الصندوق]:[الرصيد الفعلي]],5,0)</f>
        <v>5025</v>
      </c>
      <c r="G257" s="17">
        <f>IF(VLOOKUP(الحركات[إلى صندوق],Table1[],3,0)=0,VLOOKUP(الحركات[[#This Row],[من صندوق]],Table1[[الصندوق]:[القيمة الشهرية]],3,0),VLOOKUP(الحركات[إلى صندوق],Table1[],3,0))</f>
        <v>190</v>
      </c>
      <c r="H257" s="22">
        <v>190</v>
      </c>
      <c r="I257" s="22"/>
      <c r="J257" t="s">
        <v>72</v>
      </c>
      <c r="L257" s="8" t="b">
        <f ca="1">AND(الحركات[[#This Row],[مدفوع من شهر]]&lt;=VALUE(TEXT($A$2,"YYYYMM")),الحركات[[#This Row],[الحالة]]="")</f>
        <v>0</v>
      </c>
      <c r="M257" s="8" t="str">
        <f>الحركات[من صندوق]&amp;"/"&amp;الحركات[إلى صندوق]</f>
        <v>هدايا/صرف</v>
      </c>
      <c r="N257" s="8" t="str">
        <f>VLOOKUP(الحركات[من صندوق],Table1[],2,0)</f>
        <v>صرف</v>
      </c>
      <c r="O257" s="8" t="str">
        <f>VLOOKUP(الحركات[إلى صندوق],Table1[[الصندوق]:[نوعه]],2,0)</f>
        <v>خارجي</v>
      </c>
    </row>
    <row r="258" spans="1:15" x14ac:dyDescent="0.3">
      <c r="A258">
        <v>201812</v>
      </c>
      <c r="B258" s="3"/>
      <c r="C258" t="s">
        <v>4</v>
      </c>
      <c r="D258" s="17">
        <f>VLOOKUP(الحركات[[#This Row],[من صندوق]],Table5[],5,0)</f>
        <v>200</v>
      </c>
      <c r="E258" t="s">
        <v>14</v>
      </c>
      <c r="F258" s="17">
        <f>VLOOKUP(الحركات[[#This Row],[إلى صندوق]],Table5[[الصندوق]:[الرصيد الفعلي]],5,0)</f>
        <v>5025</v>
      </c>
      <c r="G258" s="17">
        <f>IF(VLOOKUP(الحركات[إلى صندوق],Table1[],3,0)=0,VLOOKUP(الحركات[[#This Row],[من صندوق]],Table1[[الصندوق]:[القيمة الشهرية]],3,0),VLOOKUP(الحركات[إلى صندوق],Table1[],3,0))</f>
        <v>200</v>
      </c>
      <c r="H258" s="22">
        <v>1200</v>
      </c>
      <c r="I258" s="22"/>
      <c r="J258" t="s">
        <v>73</v>
      </c>
      <c r="L258" s="8" t="b">
        <f ca="1">AND(الحركات[[#This Row],[مدفوع من شهر]]&lt;=VALUE(TEXT($A$2,"YYYYMM")),الحركات[[#This Row],[الحالة]]="")</f>
        <v>0</v>
      </c>
      <c r="M258" s="8" t="str">
        <f>الحركات[من صندوق]&amp;"/"&amp;الحركات[إلى صندوق]</f>
        <v>طوارئ/صرف</v>
      </c>
      <c r="N258" s="8" t="str">
        <f>VLOOKUP(الحركات[من صندوق],Table1[],2,0)</f>
        <v>صرف</v>
      </c>
      <c r="O258" s="8" t="str">
        <f>VLOOKUP(الحركات[إلى صندوق],Table1[[الصندوق]:[نوعه]],2,0)</f>
        <v>خارجي</v>
      </c>
    </row>
    <row r="259" spans="1:15" x14ac:dyDescent="0.3">
      <c r="A259">
        <v>201812</v>
      </c>
      <c r="B259" s="3"/>
      <c r="C259" t="s">
        <v>12</v>
      </c>
      <c r="D259" s="20">
        <f>VLOOKUP(الحركات[[#This Row],[من صندوق]],Table5[],5,0)</f>
        <v>400</v>
      </c>
      <c r="E259" t="s">
        <v>22</v>
      </c>
      <c r="F259" s="20">
        <f>VLOOKUP(الحركات[[#This Row],[إلى صندوق]],Table5[[الصندوق]:[الرصيد الفعلي]],5,0)</f>
        <v>200</v>
      </c>
      <c r="G259" s="20">
        <f>IF(VLOOKUP(الحركات[إلى صندوق],Table1[],3,0)=0,VLOOKUP(الحركات[[#This Row],[من صندوق]],Table1[[الصندوق]:[القيمة الشهرية]],3,0),VLOOKUP(الحركات[إلى صندوق],Table1[],3,0))</f>
        <v>200</v>
      </c>
      <c r="H259" s="22">
        <v>400</v>
      </c>
      <c r="I259" s="22"/>
      <c r="J259" t="s">
        <v>89</v>
      </c>
      <c r="L259" s="13" t="b">
        <f ca="1">AND(الحركات[[#This Row],[مدفوع من شهر]]&lt;=VALUE(TEXT($A$2,"YYYYMM")),الحركات[[#This Row],[الحالة]]="")</f>
        <v>0</v>
      </c>
      <c r="M259" s="13" t="str">
        <f>الحركات[من صندوق]&amp;"/"&amp;الحركات[إلى صندوق]</f>
        <v>اجازات/زكاة</v>
      </c>
      <c r="N259" s="13" t="str">
        <f>VLOOKUP(الحركات[من صندوق],Table1[],2,0)</f>
        <v>صرف</v>
      </c>
      <c r="O259" s="13" t="str">
        <f>VLOOKUP(الحركات[إلى صندوق],Table1[[الصندوق]:[نوعه]],2,0)</f>
        <v>صرف</v>
      </c>
    </row>
    <row r="260" spans="1:15" x14ac:dyDescent="0.3">
      <c r="A260">
        <v>201812</v>
      </c>
      <c r="B260" s="3"/>
      <c r="C260" t="s">
        <v>21</v>
      </c>
      <c r="D260" s="15">
        <f>VLOOKUP(الحركات[[#This Row],[من صندوق]],Table5[],5,0)</f>
        <v>1500</v>
      </c>
      <c r="E260" t="s">
        <v>18</v>
      </c>
      <c r="F260" s="15">
        <f>VLOOKUP(الحركات[[#This Row],[إلى صندوق]],Table5[[الصندوق]:[الرصيد الفعلي]],5,0)</f>
        <v>225</v>
      </c>
      <c r="G260" s="15">
        <f>IF(VLOOKUP(الحركات[إلى صندوق],Table1[],3,0)=0,VLOOKUP(الحركات[[#This Row],[من صندوق]],Table1[[الصندوق]:[القيمة الشهرية]],3,0),VLOOKUP(الحركات[إلى صندوق],Table1[],3,0))</f>
        <v>10000</v>
      </c>
      <c r="H260" s="22">
        <v>2250</v>
      </c>
      <c r="I260" s="22"/>
      <c r="J260" t="s">
        <v>89</v>
      </c>
      <c r="L260" s="2" t="b">
        <f ca="1">AND(الحركات[[#This Row],[مدفوع من شهر]]&lt;=VALUE(TEXT($A$2,"YYYYMM")),الحركات[[#This Row],[الحالة]]="")</f>
        <v>0</v>
      </c>
      <c r="M260" s="2" t="str">
        <f>الحركات[من صندوق]&amp;"/"&amp;الحركات[إلى صندوق]</f>
        <v>ايجار المنزل/الراتب</v>
      </c>
      <c r="N260" s="2" t="str">
        <f>VLOOKUP(الحركات[من صندوق],Table1[],2,0)</f>
        <v>صرف</v>
      </c>
      <c r="O260" s="2" t="str">
        <f>VLOOKUP(الحركات[إلى صندوق],Table1[[الصندوق]:[نوعه]],2,0)</f>
        <v>دخل</v>
      </c>
    </row>
    <row r="261" spans="1:15" x14ac:dyDescent="0.3">
      <c r="A261">
        <v>201812</v>
      </c>
      <c r="B261" s="3"/>
      <c r="C261" t="s">
        <v>9</v>
      </c>
      <c r="D261" s="21">
        <f>VLOOKUP(الحركات[[#This Row],[من صندوق]],Table5[],5,0)</f>
        <v>200</v>
      </c>
      <c r="E261" t="s">
        <v>22</v>
      </c>
      <c r="F261" s="21">
        <f>VLOOKUP(الحركات[[#This Row],[إلى صندوق]],Table5[[الصندوق]:[الرصيد الفعلي]],5,0)</f>
        <v>200</v>
      </c>
      <c r="G261" s="21">
        <f>IF(VLOOKUP(الحركات[إلى صندوق],Table1[],3,0)=0,VLOOKUP(الحركات[[#This Row],[من صندوق]],Table1[[الصندوق]:[القيمة الشهرية]],3,0),VLOOKUP(الحركات[إلى صندوق],Table1[],3,0))</f>
        <v>200</v>
      </c>
      <c r="H261" s="22">
        <v>400</v>
      </c>
      <c r="I261" s="22"/>
      <c r="J261" t="s">
        <v>89</v>
      </c>
      <c r="L261" s="14" t="b">
        <f ca="1">AND(الحركات[[#This Row],[مدفوع من شهر]]&lt;=VALUE(TEXT($A$2,"YYYYMM")),الحركات[[#This Row],[الحالة]]="")</f>
        <v>0</v>
      </c>
      <c r="M261" s="14" t="str">
        <f>الحركات[من صندوق]&amp;"/"&amp;الحركات[إلى صندوق]</f>
        <v>دورات/زكاة</v>
      </c>
      <c r="N261" s="14" t="str">
        <f>VLOOKUP(الحركات[من صندوق],Table1[],2,0)</f>
        <v>صرف</v>
      </c>
      <c r="O261" s="14" t="str">
        <f>VLOOKUP(الحركات[إلى صندوق],Table1[[الصندوق]:[نوعه]],2,0)</f>
        <v>صرف</v>
      </c>
    </row>
    <row r="262" spans="1:15" x14ac:dyDescent="0.3">
      <c r="A262">
        <v>201812</v>
      </c>
      <c r="B262" s="3"/>
      <c r="C262" t="s">
        <v>3</v>
      </c>
      <c r="D262" s="21">
        <f>VLOOKUP(الحركات[[#This Row],[من صندوق]],Table5[],5,0)</f>
        <v>2000</v>
      </c>
      <c r="E262" t="s">
        <v>22</v>
      </c>
      <c r="F262" s="21">
        <f>VLOOKUP(الحركات[[#This Row],[إلى صندوق]],Table5[[الصندوق]:[الرصيد الفعلي]],5,0)</f>
        <v>200</v>
      </c>
      <c r="G262" s="21">
        <f>IF(VLOOKUP(الحركات[إلى صندوق],Table1[],3,0)=0,VLOOKUP(الحركات[[#This Row],[من صندوق]],Table1[[الصندوق]:[القيمة الشهرية]],3,0),VLOOKUP(الحركات[إلى صندوق],Table1[],3,0))</f>
        <v>200</v>
      </c>
      <c r="H262" s="22">
        <v>1400</v>
      </c>
      <c r="I262" s="22"/>
      <c r="J262" t="s">
        <v>89</v>
      </c>
      <c r="L262" s="14" t="b">
        <f ca="1">AND(الحركات[[#This Row],[مدفوع من شهر]]&lt;=VALUE(TEXT($A$2,"YYYYMM")),الحركات[[#This Row],[الحالة]]="")</f>
        <v>0</v>
      </c>
      <c r="M262" s="14" t="str">
        <f>الحركات[من صندوق]&amp;"/"&amp;الحركات[إلى صندوق]</f>
        <v>مدارس/زكاة</v>
      </c>
      <c r="N262" s="14" t="str">
        <f>VLOOKUP(الحركات[من صندوق],Table1[],2,0)</f>
        <v>صرف</v>
      </c>
      <c r="O262" s="14" t="str">
        <f>VLOOKUP(الحركات[إلى صندوق],Table1[[الصندوق]:[نوعه]],2,0)</f>
        <v>صرف</v>
      </c>
    </row>
    <row r="263" spans="1:15" x14ac:dyDescent="0.3">
      <c r="A263">
        <v>201812</v>
      </c>
      <c r="B263" s="3"/>
      <c r="C263" t="s">
        <v>3</v>
      </c>
      <c r="D263" s="21">
        <f>VLOOKUP(الحركات[[#This Row],[من صندوق]],Table5[],5,0)</f>
        <v>2000</v>
      </c>
      <c r="E263" t="s">
        <v>21</v>
      </c>
      <c r="F263" s="21">
        <f>VLOOKUP(الحركات[[#This Row],[إلى صندوق]],Table5[[الصندوق]:[الرصيد الفعلي]],5,0)</f>
        <v>1500</v>
      </c>
      <c r="G263" s="21">
        <f>IF(VLOOKUP(الحركات[إلى صندوق],Table1[],3,0)=0,VLOOKUP(الحركات[[#This Row],[من صندوق]],Table1[[الصندوق]:[القيمة الشهرية]],3,0),VLOOKUP(الحركات[إلى صندوق],Table1[],3,0))</f>
        <v>1500</v>
      </c>
      <c r="H263" s="22">
        <v>600</v>
      </c>
      <c r="I263" s="22"/>
      <c r="J263" t="s">
        <v>89</v>
      </c>
      <c r="L263" s="14" t="b">
        <f ca="1">AND(الحركات[[#This Row],[مدفوع من شهر]]&lt;=VALUE(TEXT($A$2,"YYYYMM")),الحركات[[#This Row],[الحالة]]="")</f>
        <v>0</v>
      </c>
      <c r="M263" s="14" t="str">
        <f>الحركات[من صندوق]&amp;"/"&amp;الحركات[إلى صندوق]</f>
        <v>مدارس/ايجار المنزل</v>
      </c>
      <c r="N263" s="14" t="str">
        <f>VLOOKUP(الحركات[من صندوق],Table1[],2,0)</f>
        <v>صرف</v>
      </c>
      <c r="O263" s="14" t="str">
        <f>VLOOKUP(الحركات[إلى صندوق],Table1[[الصندوق]:[نوعه]],2,0)</f>
        <v>صرف</v>
      </c>
    </row>
    <row r="264" spans="1:15" x14ac:dyDescent="0.3">
      <c r="A264">
        <v>201901</v>
      </c>
      <c r="B264" s="3"/>
      <c r="C264" t="s">
        <v>20</v>
      </c>
      <c r="D264" s="15">
        <f>VLOOKUP(الحركات[[#This Row],[من صندوق]],Table5[],5,0)</f>
        <v>-10000</v>
      </c>
      <c r="E264" t="s">
        <v>18</v>
      </c>
      <c r="F264" s="15">
        <f>VLOOKUP(الحركات[[#This Row],[إلى صندوق]],Table5[[الصندوق]:[الرصيد الفعلي]],5,0)</f>
        <v>225</v>
      </c>
      <c r="G264" s="15">
        <f>IF(VLOOKUP(الحركات[إلى صندوق],Table1[],3,0)=0,VLOOKUP(الحركات[[#This Row],[من صندوق]],Table1[[الصندوق]:[القيمة الشهرية]],3,0),VLOOKUP(الحركات[إلى صندوق],Table1[],3,0))</f>
        <v>10000</v>
      </c>
      <c r="H264" s="22">
        <v>10000</v>
      </c>
      <c r="I264" s="22"/>
      <c r="J264" t="s">
        <v>40</v>
      </c>
      <c r="L264" s="26" t="b">
        <f ca="1">AND(الحركات[[#This Row],[مدفوع من شهر]]&lt;=VALUE(TEXT($A$2,"YYYYMM")),الحركات[[#This Row],[الحالة]]="")</f>
        <v>0</v>
      </c>
      <c r="M264" s="2" t="str">
        <f>الحركات[من صندوق]&amp;"/"&amp;الحركات[إلى صندوق]</f>
        <v>الشركة/الراتب</v>
      </c>
      <c r="N264" s="2" t="str">
        <f>VLOOKUP(الحركات[من صندوق],Table1[],2,0)</f>
        <v>خارجي</v>
      </c>
      <c r="O264" s="2" t="str">
        <f>VLOOKUP(الحركات[إلى صندوق],Table1[[الصندوق]:[نوعه]],2,0)</f>
        <v>دخل</v>
      </c>
    </row>
    <row r="265" spans="1:15" x14ac:dyDescent="0.3">
      <c r="A265">
        <v>201901</v>
      </c>
      <c r="B265" s="3"/>
      <c r="C265" t="s">
        <v>18</v>
      </c>
      <c r="D265" s="15">
        <f>VLOOKUP(الحركات[[#This Row],[من صندوق]],Table5[],5,0)</f>
        <v>225</v>
      </c>
      <c r="E265" t="s">
        <v>11</v>
      </c>
      <c r="F265" s="15">
        <f>VLOOKUP(الحركات[[#This Row],[إلى صندوق]],Table5[[الصندوق]:[الرصيد الفعلي]],5,0)</f>
        <v>0</v>
      </c>
      <c r="G265" s="15">
        <f>IF(VLOOKUP(الحركات[إلى صندوق],Table1[],3,0)=0,VLOOKUP(الحركات[[#This Row],[من صندوق]],Table1[[الصندوق]:[القيمة الشهرية]],3,0),VLOOKUP(الحركات[إلى صندوق],Table1[],3,0))</f>
        <v>250</v>
      </c>
      <c r="H265" s="22">
        <v>250</v>
      </c>
      <c r="I265" s="22"/>
      <c r="J265" t="s">
        <v>47</v>
      </c>
      <c r="L265" s="26" t="b">
        <f ca="1">AND(الحركات[[#This Row],[مدفوع من شهر]]&lt;=VALUE(TEXT($A$2,"YYYYMM")),الحركات[[#This Row],[الحالة]]="")</f>
        <v>0</v>
      </c>
      <c r="M265" s="2" t="str">
        <f>الحركات[من صندوق]&amp;"/"&amp;الحركات[إلى صندوق]</f>
        <v>الراتب/فواتير</v>
      </c>
      <c r="N265" s="2" t="str">
        <f>VLOOKUP(الحركات[من صندوق],Table1[],2,0)</f>
        <v>دخل</v>
      </c>
      <c r="O265" s="2" t="str">
        <f>VLOOKUP(الحركات[إلى صندوق],Table1[[الصندوق]:[نوعه]],2,0)</f>
        <v>صرف</v>
      </c>
    </row>
    <row r="266" spans="1:15" x14ac:dyDescent="0.3">
      <c r="A266">
        <v>201901</v>
      </c>
      <c r="B266" s="3"/>
      <c r="C266" t="s">
        <v>18</v>
      </c>
      <c r="D266" s="15">
        <f>VLOOKUP(الحركات[[#This Row],[من صندوق]],Table5[],5,0)</f>
        <v>225</v>
      </c>
      <c r="E266" t="s">
        <v>13</v>
      </c>
      <c r="F266" s="15">
        <f>VLOOKUP(الحركات[[#This Row],[إلى صندوق]],Table5[[الصندوق]:[الرصيد الفعلي]],5,0)</f>
        <v>0</v>
      </c>
      <c r="G266" s="15">
        <f>IF(VLOOKUP(الحركات[إلى صندوق],Table1[],3,0)=0,VLOOKUP(الحركات[[#This Row],[من صندوق]],Table1[[الصندوق]:[القيمة الشهرية]],3,0),VLOOKUP(الحركات[إلى صندوق],Table1[],3,0))</f>
        <v>3800</v>
      </c>
      <c r="H266" s="22">
        <v>3800</v>
      </c>
      <c r="I266" s="22"/>
      <c r="J266" t="s">
        <v>48</v>
      </c>
      <c r="L266" s="26" t="b">
        <f ca="1">AND(الحركات[[#This Row],[مدفوع من شهر]]&lt;=VALUE(TEXT($A$2,"YYYYMM")),الحركات[[#This Row],[الحالة]]="")</f>
        <v>0</v>
      </c>
      <c r="M266" s="2" t="str">
        <f>الحركات[من صندوق]&amp;"/"&amp;الحركات[إلى صندوق]</f>
        <v>الراتب/مصاريف شهرية</v>
      </c>
      <c r="N266" s="2" t="str">
        <f>VLOOKUP(الحركات[من صندوق],Table1[],2,0)</f>
        <v>دخل</v>
      </c>
      <c r="O266" s="2" t="str">
        <f>VLOOKUP(الحركات[إلى صندوق],Table1[[الصندوق]:[نوعه]],2,0)</f>
        <v>صرف</v>
      </c>
    </row>
    <row r="267" spans="1:15" x14ac:dyDescent="0.3">
      <c r="A267">
        <v>201901</v>
      </c>
      <c r="B267" s="3"/>
      <c r="C267" t="s">
        <v>18</v>
      </c>
      <c r="D267" s="15">
        <f>VLOOKUP(الحركات[[#This Row],[من صندوق]],Table5[],5,0)</f>
        <v>225</v>
      </c>
      <c r="E267" t="s">
        <v>3</v>
      </c>
      <c r="F267" s="15">
        <f>VLOOKUP(الحركات[[#This Row],[إلى صندوق]],Table5[[الصندوق]:[الرصيد الفعلي]],5,0)</f>
        <v>2000</v>
      </c>
      <c r="G267" s="15">
        <f>IF(VLOOKUP(الحركات[إلى صندوق],Table1[],3,0)=0,VLOOKUP(الحركات[[#This Row],[من صندوق]],Table1[[الصندوق]:[القيمة الشهرية]],3,0),VLOOKUP(الحركات[إلى صندوق],Table1[],3,0))</f>
        <v>2000</v>
      </c>
      <c r="H267" s="22">
        <v>2000</v>
      </c>
      <c r="I267" s="22"/>
      <c r="J267" t="s">
        <v>49</v>
      </c>
      <c r="L267" s="26" t="b">
        <f ca="1">AND(الحركات[[#This Row],[مدفوع من شهر]]&lt;=VALUE(TEXT($A$2,"YYYYMM")),الحركات[[#This Row],[الحالة]]="")</f>
        <v>0</v>
      </c>
      <c r="M267" s="2" t="str">
        <f>الحركات[من صندوق]&amp;"/"&amp;الحركات[إلى صندوق]</f>
        <v>الراتب/مدارس</v>
      </c>
      <c r="N267" s="2" t="str">
        <f>VLOOKUP(الحركات[من صندوق],Table1[],2,0)</f>
        <v>دخل</v>
      </c>
      <c r="O267" s="2" t="str">
        <f>VLOOKUP(الحركات[إلى صندوق],Table1[[الصندوق]:[نوعه]],2,0)</f>
        <v>صرف</v>
      </c>
    </row>
    <row r="268" spans="1:15" x14ac:dyDescent="0.3">
      <c r="A268">
        <v>201901</v>
      </c>
      <c r="B268" s="3"/>
      <c r="C268" t="s">
        <v>18</v>
      </c>
      <c r="D268" s="15">
        <f>VLOOKUP(الحركات[[#This Row],[من صندوق]],Table5[],5,0)</f>
        <v>225</v>
      </c>
      <c r="E268" t="s">
        <v>21</v>
      </c>
      <c r="F268" s="15">
        <f>VLOOKUP(الحركات[[#This Row],[إلى صندوق]],Table5[[الصندوق]:[الرصيد الفعلي]],5,0)</f>
        <v>1500</v>
      </c>
      <c r="G268" s="15">
        <f>IF(VLOOKUP(الحركات[إلى صندوق],Table1[],3,0)=0,VLOOKUP(الحركات[[#This Row],[من صندوق]],Table1[[الصندوق]:[القيمة الشهرية]],3,0),VLOOKUP(الحركات[إلى صندوق],Table1[],3,0))</f>
        <v>1500</v>
      </c>
      <c r="H268" s="22">
        <v>1500</v>
      </c>
      <c r="I268" s="22"/>
      <c r="J268" t="s">
        <v>50</v>
      </c>
      <c r="L268" s="26" t="b">
        <f ca="1">AND(الحركات[[#This Row],[مدفوع من شهر]]&lt;=VALUE(TEXT($A$2,"YYYYMM")),الحركات[[#This Row],[الحالة]]="")</f>
        <v>0</v>
      </c>
      <c r="M268" s="2" t="str">
        <f>الحركات[من صندوق]&amp;"/"&amp;الحركات[إلى صندوق]</f>
        <v>الراتب/ايجار المنزل</v>
      </c>
      <c r="N268" s="2" t="str">
        <f>VLOOKUP(الحركات[من صندوق],Table1[],2,0)</f>
        <v>دخل</v>
      </c>
      <c r="O268" s="2" t="str">
        <f>VLOOKUP(الحركات[إلى صندوق],Table1[[الصندوق]:[نوعه]],2,0)</f>
        <v>صرف</v>
      </c>
    </row>
    <row r="269" spans="1:15" x14ac:dyDescent="0.3">
      <c r="A269">
        <v>201901</v>
      </c>
      <c r="B269" s="3"/>
      <c r="C269" t="s">
        <v>18</v>
      </c>
      <c r="D269" s="15">
        <f>VLOOKUP(الحركات[[#This Row],[من صندوق]],Table5[],5,0)</f>
        <v>225</v>
      </c>
      <c r="E269" t="s">
        <v>0</v>
      </c>
      <c r="F269" s="15">
        <f>VLOOKUP(الحركات[[#This Row],[إلى صندوق]],Table5[[الصندوق]:[الرصيد الفعلي]],5,0)</f>
        <v>0</v>
      </c>
      <c r="G269" s="15">
        <f>IF(VLOOKUP(الحركات[إلى صندوق],Table1[],3,0)=0,VLOOKUP(الحركات[[#This Row],[من صندوق]],Table1[[الصندوق]:[القيمة الشهرية]],3,0),VLOOKUP(الحركات[إلى صندوق],Table1[],3,0))</f>
        <v>500</v>
      </c>
      <c r="H269" s="22">
        <v>500</v>
      </c>
      <c r="I269" s="22"/>
      <c r="J269" t="s">
        <v>51</v>
      </c>
      <c r="L269" s="26" t="b">
        <f ca="1">AND(الحركات[[#This Row],[مدفوع من شهر]]&lt;=VALUE(TEXT($A$2,"YYYYMM")),الحركات[[#This Row],[الحالة]]="")</f>
        <v>0</v>
      </c>
      <c r="M269" s="2" t="str">
        <f>الحركات[من صندوق]&amp;"/"&amp;الحركات[إلى صندوق]</f>
        <v>الراتب/توفير</v>
      </c>
      <c r="N269" s="2" t="str">
        <f>VLOOKUP(الحركات[من صندوق],Table1[],2,0)</f>
        <v>دخل</v>
      </c>
      <c r="O269" s="2" t="str">
        <f>VLOOKUP(الحركات[إلى صندوق],Table1[[الصندوق]:[نوعه]],2,0)</f>
        <v>صرف</v>
      </c>
    </row>
    <row r="270" spans="1:15" x14ac:dyDescent="0.3">
      <c r="A270">
        <v>201901</v>
      </c>
      <c r="B270" s="3"/>
      <c r="C270" t="s">
        <v>18</v>
      </c>
      <c r="D270" s="15">
        <f>VLOOKUP(الحركات[[#This Row],[من صندوق]],Table5[],5,0)</f>
        <v>225</v>
      </c>
      <c r="E270" t="s">
        <v>12</v>
      </c>
      <c r="F270" s="15">
        <f>VLOOKUP(الحركات[[#This Row],[إلى صندوق]],Table5[[الصندوق]:[الرصيد الفعلي]],5,0)</f>
        <v>400</v>
      </c>
      <c r="G270" s="15">
        <f>IF(VLOOKUP(الحركات[إلى صندوق],Table1[],3,0)=0,VLOOKUP(الحركات[[#This Row],[من صندوق]],Table1[[الصندوق]:[القيمة الشهرية]],3,0),VLOOKUP(الحركات[إلى صندوق],Table1[],3,0))</f>
        <v>400</v>
      </c>
      <c r="H270" s="22">
        <v>400</v>
      </c>
      <c r="I270" s="22"/>
      <c r="J270" t="s">
        <v>52</v>
      </c>
      <c r="L270" s="26" t="b">
        <f ca="1">AND(الحركات[[#This Row],[مدفوع من شهر]]&lt;=VALUE(TEXT($A$2,"YYYYMM")),الحركات[[#This Row],[الحالة]]="")</f>
        <v>0</v>
      </c>
      <c r="M270" s="2" t="str">
        <f>الحركات[من صندوق]&amp;"/"&amp;الحركات[إلى صندوق]</f>
        <v>الراتب/اجازات</v>
      </c>
      <c r="N270" s="2" t="str">
        <f>VLOOKUP(الحركات[من صندوق],Table1[],2,0)</f>
        <v>دخل</v>
      </c>
      <c r="O270" s="2" t="str">
        <f>VLOOKUP(الحركات[إلى صندوق],Table1[[الصندوق]:[نوعه]],2,0)</f>
        <v>صرف</v>
      </c>
    </row>
    <row r="271" spans="1:15" x14ac:dyDescent="0.3">
      <c r="A271">
        <v>201901</v>
      </c>
      <c r="B271" s="3"/>
      <c r="C271" t="s">
        <v>18</v>
      </c>
      <c r="D271" s="15">
        <f>VLOOKUP(الحركات[[#This Row],[من صندوق]],Table5[],5,0)</f>
        <v>225</v>
      </c>
      <c r="E271" t="s">
        <v>9</v>
      </c>
      <c r="F271" s="15">
        <f>VLOOKUP(الحركات[[#This Row],[إلى صندوق]],Table5[[الصندوق]:[الرصيد الفعلي]],5,0)</f>
        <v>200</v>
      </c>
      <c r="G271" s="15">
        <f>IF(VLOOKUP(الحركات[إلى صندوق],Table1[],3,0)=0,VLOOKUP(الحركات[[#This Row],[من صندوق]],Table1[[الصندوق]:[القيمة الشهرية]],3,0),VLOOKUP(الحركات[إلى صندوق],Table1[],3,0))</f>
        <v>200</v>
      </c>
      <c r="H271" s="22">
        <v>200</v>
      </c>
      <c r="I271" s="22"/>
      <c r="J271" t="s">
        <v>53</v>
      </c>
      <c r="L271" s="26" t="b">
        <f ca="1">AND(الحركات[[#This Row],[مدفوع من شهر]]&lt;=VALUE(TEXT($A$2,"YYYYMM")),الحركات[[#This Row],[الحالة]]="")</f>
        <v>0</v>
      </c>
      <c r="M271" s="2" t="str">
        <f>الحركات[من صندوق]&amp;"/"&amp;الحركات[إلى صندوق]</f>
        <v>الراتب/دورات</v>
      </c>
      <c r="N271" s="2" t="str">
        <f>VLOOKUP(الحركات[من صندوق],Table1[],2,0)</f>
        <v>دخل</v>
      </c>
      <c r="O271" s="2" t="str">
        <f>VLOOKUP(الحركات[إلى صندوق],Table1[[الصندوق]:[نوعه]],2,0)</f>
        <v>صرف</v>
      </c>
    </row>
    <row r="272" spans="1:15" x14ac:dyDescent="0.3">
      <c r="A272">
        <v>201901</v>
      </c>
      <c r="B272" s="3"/>
      <c r="C272" t="s">
        <v>18</v>
      </c>
      <c r="D272" s="15">
        <f>VLOOKUP(الحركات[[#This Row],[من صندوق]],Table5[],5,0)</f>
        <v>225</v>
      </c>
      <c r="E272" t="s">
        <v>22</v>
      </c>
      <c r="F272" s="15">
        <f>VLOOKUP(الحركات[[#This Row],[إلى صندوق]],Table5[[الصندوق]:[الرصيد الفعلي]],5,0)</f>
        <v>200</v>
      </c>
      <c r="G272" s="15">
        <f>IF(VLOOKUP(الحركات[إلى صندوق],Table1[],3,0)=0,VLOOKUP(الحركات[[#This Row],[من صندوق]],Table1[[الصندوق]:[القيمة الشهرية]],3,0),VLOOKUP(الحركات[إلى صندوق],Table1[],3,0))</f>
        <v>200</v>
      </c>
      <c r="H272" s="22">
        <v>200</v>
      </c>
      <c r="I272" s="22"/>
      <c r="J272" t="s">
        <v>54</v>
      </c>
      <c r="L272" s="26" t="b">
        <f ca="1">AND(الحركات[[#This Row],[مدفوع من شهر]]&lt;=VALUE(TEXT($A$2,"YYYYMM")),الحركات[[#This Row],[الحالة]]="")</f>
        <v>0</v>
      </c>
      <c r="M272" s="2" t="str">
        <f>الحركات[من صندوق]&amp;"/"&amp;الحركات[إلى صندوق]</f>
        <v>الراتب/زكاة</v>
      </c>
      <c r="N272" s="2" t="str">
        <f>VLOOKUP(الحركات[من صندوق],Table1[],2,0)</f>
        <v>دخل</v>
      </c>
      <c r="O272" s="2" t="str">
        <f>VLOOKUP(الحركات[إلى صندوق],Table1[[الصندوق]:[نوعه]],2,0)</f>
        <v>صرف</v>
      </c>
    </row>
    <row r="273" spans="1:15" x14ac:dyDescent="0.3">
      <c r="A273">
        <v>201901</v>
      </c>
      <c r="B273" s="3"/>
      <c r="C273" t="s">
        <v>18</v>
      </c>
      <c r="D273" s="15">
        <f>VLOOKUP(الحركات[[#This Row],[من صندوق]],Table5[],5,0)</f>
        <v>225</v>
      </c>
      <c r="E273" t="s">
        <v>10</v>
      </c>
      <c r="F273" s="15">
        <f>VLOOKUP(الحركات[[#This Row],[إلى صندوق]],Table5[[الصندوق]:[الرصيد الفعلي]],5,0)</f>
        <v>250</v>
      </c>
      <c r="G273" s="15">
        <f>IF(VLOOKUP(الحركات[إلى صندوق],Table1[],3,0)=0,VLOOKUP(الحركات[[#This Row],[من صندوق]],Table1[[الصندوق]:[القيمة الشهرية]],3,0),VLOOKUP(الحركات[إلى صندوق],Table1[],3,0))</f>
        <v>250</v>
      </c>
      <c r="H273" s="22">
        <v>250</v>
      </c>
      <c r="I273" s="22"/>
      <c r="J273" t="s">
        <v>55</v>
      </c>
      <c r="L273" s="26" t="b">
        <f ca="1">AND(الحركات[[#This Row],[مدفوع من شهر]]&lt;=VALUE(TEXT($A$2,"YYYYMM")),الحركات[[#This Row],[الحالة]]="")</f>
        <v>0</v>
      </c>
      <c r="M273" s="2" t="str">
        <f>الحركات[من صندوق]&amp;"/"&amp;الحركات[إلى صندوق]</f>
        <v>الراتب/صيانة السيارة</v>
      </c>
      <c r="N273" s="2" t="str">
        <f>VLOOKUP(الحركات[من صندوق],Table1[],2,0)</f>
        <v>دخل</v>
      </c>
      <c r="O273" s="2" t="str">
        <f>VLOOKUP(الحركات[إلى صندوق],Table1[[الصندوق]:[نوعه]],2,0)</f>
        <v>صرف</v>
      </c>
    </row>
    <row r="274" spans="1:15" x14ac:dyDescent="0.3">
      <c r="A274">
        <v>201901</v>
      </c>
      <c r="B274" s="3"/>
      <c r="C274" t="s">
        <v>18</v>
      </c>
      <c r="D274" s="15">
        <f>VLOOKUP(الحركات[[#This Row],[من صندوق]],Table5[],5,0)</f>
        <v>225</v>
      </c>
      <c r="E274" t="s">
        <v>15</v>
      </c>
      <c r="F274" s="15">
        <f>VLOOKUP(الحركات[[#This Row],[إلى صندوق]],Table5[[الصندوق]:[الرصيد الفعلي]],5,0)</f>
        <v>0</v>
      </c>
      <c r="G274" s="15">
        <f>IF(VLOOKUP(الحركات[إلى صندوق],Table1[],3,0)=0,VLOOKUP(الحركات[[#This Row],[من صندوق]],Table1[[الصندوق]:[القيمة الشهرية]],3,0),VLOOKUP(الحركات[إلى صندوق],Table1[],3,0))</f>
        <v>285</v>
      </c>
      <c r="H274" s="22">
        <v>285</v>
      </c>
      <c r="I274" s="22"/>
      <c r="J274" t="s">
        <v>56</v>
      </c>
      <c r="L274" s="26" t="b">
        <f ca="1">AND(الحركات[[#This Row],[مدفوع من شهر]]&lt;=VALUE(TEXT($A$2,"YYYYMM")),الحركات[[#This Row],[الحالة]]="")</f>
        <v>0</v>
      </c>
      <c r="M274" s="2" t="str">
        <f>الحركات[من صندوق]&amp;"/"&amp;الحركات[إلى صندوق]</f>
        <v>الراتب/ملابس</v>
      </c>
      <c r="N274" s="2" t="str">
        <f>VLOOKUP(الحركات[من صندوق],Table1[],2,0)</f>
        <v>دخل</v>
      </c>
      <c r="O274" s="2" t="str">
        <f>VLOOKUP(الحركات[إلى صندوق],Table1[[الصندوق]:[نوعه]],2,0)</f>
        <v>صرف</v>
      </c>
    </row>
    <row r="275" spans="1:15" x14ac:dyDescent="0.3">
      <c r="A275">
        <v>201901</v>
      </c>
      <c r="B275" s="3"/>
      <c r="C275" t="s">
        <v>18</v>
      </c>
      <c r="D275" s="15">
        <f>VLOOKUP(الحركات[[#This Row],[من صندوق]],Table5[],5,0)</f>
        <v>225</v>
      </c>
      <c r="E275" t="s">
        <v>1</v>
      </c>
      <c r="F275" s="15">
        <f>VLOOKUP(الحركات[[#This Row],[إلى صندوق]],Table5[[الصندوق]:[الرصيد الفعلي]],5,0)</f>
        <v>0</v>
      </c>
      <c r="G275" s="15">
        <f>IF(VLOOKUP(الحركات[إلى صندوق],Table1[],3,0)=0,VLOOKUP(الحركات[[#This Row],[من صندوق]],Table1[[الصندوق]:[القيمة الشهرية]],3,0),VLOOKUP(الحركات[إلى صندوق],Table1[],3,0))</f>
        <v>190</v>
      </c>
      <c r="H275" s="22">
        <v>190</v>
      </c>
      <c r="I275" s="22"/>
      <c r="J275" t="s">
        <v>57</v>
      </c>
      <c r="L275" s="26" t="b">
        <f ca="1">AND(الحركات[[#This Row],[مدفوع من شهر]]&lt;=VALUE(TEXT($A$2,"YYYYMM")),الحركات[[#This Row],[الحالة]]="")</f>
        <v>0</v>
      </c>
      <c r="M275" s="2" t="str">
        <f>الحركات[من صندوق]&amp;"/"&amp;الحركات[إلى صندوق]</f>
        <v>الراتب/هدايا</v>
      </c>
      <c r="N275" s="2" t="str">
        <f>VLOOKUP(الحركات[من صندوق],Table1[],2,0)</f>
        <v>دخل</v>
      </c>
      <c r="O275" s="2" t="str">
        <f>VLOOKUP(الحركات[إلى صندوق],Table1[[الصندوق]:[نوعه]],2,0)</f>
        <v>صرف</v>
      </c>
    </row>
    <row r="276" spans="1:15" x14ac:dyDescent="0.3">
      <c r="A276">
        <v>201901</v>
      </c>
      <c r="B276" s="3"/>
      <c r="C276" t="s">
        <v>18</v>
      </c>
      <c r="D276" s="15">
        <f>VLOOKUP(الحركات[[#This Row],[من صندوق]],Table5[],5,0)</f>
        <v>225</v>
      </c>
      <c r="E276" t="s">
        <v>4</v>
      </c>
      <c r="F276" s="15">
        <f>VLOOKUP(الحركات[[#This Row],[إلى صندوق]],Table5[[الصندوق]:[الرصيد الفعلي]],5,0)</f>
        <v>200</v>
      </c>
      <c r="G276" s="15">
        <f>IF(VLOOKUP(الحركات[إلى صندوق],Table1[],3,0)=0,VLOOKUP(الحركات[[#This Row],[من صندوق]],Table1[[الصندوق]:[القيمة الشهرية]],3,0),VLOOKUP(الحركات[إلى صندوق],Table1[],3,0))</f>
        <v>200</v>
      </c>
      <c r="H276" s="22">
        <v>200</v>
      </c>
      <c r="I276" s="22"/>
      <c r="J276" t="s">
        <v>58</v>
      </c>
      <c r="L276" s="26" t="b">
        <f ca="1">AND(الحركات[[#This Row],[مدفوع من شهر]]&lt;=VALUE(TEXT($A$2,"YYYYMM")),الحركات[[#This Row],[الحالة]]="")</f>
        <v>0</v>
      </c>
      <c r="M276" s="2" t="str">
        <f>الحركات[من صندوق]&amp;"/"&amp;الحركات[إلى صندوق]</f>
        <v>الراتب/طوارئ</v>
      </c>
      <c r="N276" s="2" t="str">
        <f>VLOOKUP(الحركات[من صندوق],Table1[],2,0)</f>
        <v>دخل</v>
      </c>
      <c r="O276" s="2" t="str">
        <f>VLOOKUP(الحركات[إلى صندوق],Table1[[الصندوق]:[نوعه]],2,0)</f>
        <v>صرف</v>
      </c>
    </row>
    <row r="277" spans="1:15" x14ac:dyDescent="0.3">
      <c r="A277">
        <v>201901</v>
      </c>
      <c r="B277" s="3"/>
      <c r="C277" t="s">
        <v>11</v>
      </c>
      <c r="D277" s="15">
        <f>VLOOKUP(الحركات[[#This Row],[من صندوق]],Table5[],5,0)</f>
        <v>0</v>
      </c>
      <c r="E277" t="s">
        <v>14</v>
      </c>
      <c r="F277" s="15">
        <f>VLOOKUP(الحركات[[#This Row],[إلى صندوق]],Table5[[الصندوق]:[الرصيد الفعلي]],5,0)</f>
        <v>5025</v>
      </c>
      <c r="G277" s="15">
        <f>IF(VLOOKUP(الحركات[إلى صندوق],Table1[],3,0)=0,VLOOKUP(الحركات[[#This Row],[من صندوق]],Table1[[الصندوق]:[القيمة الشهرية]],3,0),VLOOKUP(الحركات[إلى صندوق],Table1[],3,0))</f>
        <v>250</v>
      </c>
      <c r="H277" s="22">
        <v>250</v>
      </c>
      <c r="I277" s="22"/>
      <c r="J277" t="s">
        <v>59</v>
      </c>
      <c r="L277" s="26" t="b">
        <f ca="1">AND(الحركات[[#This Row],[مدفوع من شهر]]&lt;=VALUE(TEXT($A$2,"YYYYMM")),الحركات[[#This Row],[الحالة]]="")</f>
        <v>0</v>
      </c>
      <c r="M277" s="2" t="str">
        <f>الحركات[من صندوق]&amp;"/"&amp;الحركات[إلى صندوق]</f>
        <v>فواتير/صرف</v>
      </c>
      <c r="N277" s="2" t="str">
        <f>VLOOKUP(الحركات[من صندوق],Table1[],2,0)</f>
        <v>صرف</v>
      </c>
      <c r="O277" s="2" t="str">
        <f>VLOOKUP(الحركات[إلى صندوق],Table1[[الصندوق]:[نوعه]],2,0)</f>
        <v>خارجي</v>
      </c>
    </row>
    <row r="278" spans="1:15" x14ac:dyDescent="0.3">
      <c r="A278">
        <v>201901</v>
      </c>
      <c r="B278" s="3"/>
      <c r="C278" t="s">
        <v>13</v>
      </c>
      <c r="D278" s="15">
        <f>VLOOKUP(الحركات[[#This Row],[من صندوق]],Table5[],5,0)</f>
        <v>0</v>
      </c>
      <c r="E278" t="s">
        <v>14</v>
      </c>
      <c r="F278" s="15">
        <f>VLOOKUP(الحركات[[#This Row],[إلى صندوق]],Table5[[الصندوق]:[الرصيد الفعلي]],5,0)</f>
        <v>5025</v>
      </c>
      <c r="G278" s="15">
        <f>IF(VLOOKUP(الحركات[إلى صندوق],Table1[],3,0)=0,VLOOKUP(الحركات[[#This Row],[من صندوق]],Table1[[الصندوق]:[القيمة الشهرية]],3,0),VLOOKUP(الحركات[إلى صندوق],Table1[],3,0))</f>
        <v>3800</v>
      </c>
      <c r="H278" s="22">
        <v>3800</v>
      </c>
      <c r="I278" s="22"/>
      <c r="J278" t="s">
        <v>60</v>
      </c>
      <c r="L278" s="26" t="b">
        <f ca="1">AND(الحركات[[#This Row],[مدفوع من شهر]]&lt;=VALUE(TEXT($A$2,"YYYYMM")),الحركات[[#This Row],[الحالة]]="")</f>
        <v>0</v>
      </c>
      <c r="M278" s="2" t="str">
        <f>الحركات[من صندوق]&amp;"/"&amp;الحركات[إلى صندوق]</f>
        <v>مصاريف شهرية/صرف</v>
      </c>
      <c r="N278" s="2" t="str">
        <f>VLOOKUP(الحركات[من صندوق],Table1[],2,0)</f>
        <v>صرف</v>
      </c>
      <c r="O278" s="2" t="str">
        <f>VLOOKUP(الحركات[إلى صندوق],Table1[[الصندوق]:[نوعه]],2,0)</f>
        <v>خارجي</v>
      </c>
    </row>
    <row r="279" spans="1:15" x14ac:dyDescent="0.3">
      <c r="A279">
        <v>201901</v>
      </c>
      <c r="B279" s="3"/>
      <c r="C279" t="s">
        <v>0</v>
      </c>
      <c r="D279" s="15">
        <f>VLOOKUP(الحركات[[#This Row],[من صندوق]],Table5[],5,0)</f>
        <v>0</v>
      </c>
      <c r="E279" t="s">
        <v>14</v>
      </c>
      <c r="F279" s="15">
        <f>VLOOKUP(الحركات[[#This Row],[إلى صندوق]],Table5[[الصندوق]:[الرصيد الفعلي]],5,0)</f>
        <v>5025</v>
      </c>
      <c r="G279" s="15">
        <f>IF(VLOOKUP(الحركات[إلى صندوق],Table1[],3,0)=0,VLOOKUP(الحركات[[#This Row],[من صندوق]],Table1[[الصندوق]:[القيمة الشهرية]],3,0),VLOOKUP(الحركات[إلى صندوق],Table1[],3,0))</f>
        <v>500</v>
      </c>
      <c r="H279" s="22">
        <v>500</v>
      </c>
      <c r="I279" s="22"/>
      <c r="J279" t="s">
        <v>66</v>
      </c>
      <c r="L279" s="26" t="b">
        <f ca="1">AND(الحركات[[#This Row],[مدفوع من شهر]]&lt;=VALUE(TEXT($A$2,"YYYYMM")),الحركات[[#This Row],[الحالة]]="")</f>
        <v>0</v>
      </c>
      <c r="M279" s="2" t="str">
        <f>الحركات[من صندوق]&amp;"/"&amp;الحركات[إلى صندوق]</f>
        <v>توفير/صرف</v>
      </c>
      <c r="N279" s="2" t="str">
        <f>VLOOKUP(الحركات[من صندوق],Table1[],2,0)</f>
        <v>صرف</v>
      </c>
      <c r="O279" s="2" t="str">
        <f>VLOOKUP(الحركات[إلى صندوق],Table1[[الصندوق]:[نوعه]],2,0)</f>
        <v>خارجي</v>
      </c>
    </row>
    <row r="280" spans="1:15" x14ac:dyDescent="0.3">
      <c r="A280">
        <v>201901</v>
      </c>
      <c r="B280" s="3"/>
      <c r="C280" t="s">
        <v>15</v>
      </c>
      <c r="D280" s="15">
        <f>VLOOKUP(الحركات[[#This Row],[من صندوق]],Table5[],5,0)</f>
        <v>0</v>
      </c>
      <c r="E280" t="s">
        <v>14</v>
      </c>
      <c r="F280" s="15">
        <f>VLOOKUP(الحركات[[#This Row],[إلى صندوق]],Table5[[الصندوق]:[الرصيد الفعلي]],5,0)</f>
        <v>5025</v>
      </c>
      <c r="G280" s="15">
        <f>IF(VLOOKUP(الحركات[إلى صندوق],Table1[],3,0)=0,VLOOKUP(الحركات[[#This Row],[من صندوق]],Table1[[الصندوق]:[القيمة الشهرية]],3,0),VLOOKUP(الحركات[إلى صندوق],Table1[],3,0))</f>
        <v>285</v>
      </c>
      <c r="H280" s="22">
        <v>285</v>
      </c>
      <c r="I280" s="22"/>
      <c r="J280" t="s">
        <v>71</v>
      </c>
      <c r="L280" s="26" t="b">
        <f ca="1">AND(الحركات[[#This Row],[مدفوع من شهر]]&lt;=VALUE(TEXT($A$2,"YYYYMM")),الحركات[[#This Row],[الحالة]]="")</f>
        <v>0</v>
      </c>
      <c r="M280" s="2" t="str">
        <f>الحركات[من صندوق]&amp;"/"&amp;الحركات[إلى صندوق]</f>
        <v>ملابس/صرف</v>
      </c>
      <c r="N280" s="2" t="str">
        <f>VLOOKUP(الحركات[من صندوق],Table1[],2,0)</f>
        <v>صرف</v>
      </c>
      <c r="O280" s="2" t="str">
        <f>VLOOKUP(الحركات[إلى صندوق],Table1[[الصندوق]:[نوعه]],2,0)</f>
        <v>خارجي</v>
      </c>
    </row>
    <row r="281" spans="1:15" x14ac:dyDescent="0.3">
      <c r="A281">
        <v>201901</v>
      </c>
      <c r="B281" s="3"/>
      <c r="C281" t="s">
        <v>1</v>
      </c>
      <c r="D281" s="15">
        <f>VLOOKUP(الحركات[[#This Row],[من صندوق]],Table5[],5,0)</f>
        <v>0</v>
      </c>
      <c r="E281" t="s">
        <v>14</v>
      </c>
      <c r="F281" s="15">
        <f>VLOOKUP(الحركات[[#This Row],[إلى صندوق]],Table5[[الصندوق]:[الرصيد الفعلي]],5,0)</f>
        <v>5025</v>
      </c>
      <c r="G281" s="15">
        <f>IF(VLOOKUP(الحركات[إلى صندوق],Table1[],3,0)=0,VLOOKUP(الحركات[[#This Row],[من صندوق]],Table1[[الصندوق]:[القيمة الشهرية]],3,0),VLOOKUP(الحركات[إلى صندوق],Table1[],3,0))</f>
        <v>190</v>
      </c>
      <c r="H281" s="22">
        <v>190</v>
      </c>
      <c r="I281" s="22"/>
      <c r="J281" t="s">
        <v>72</v>
      </c>
      <c r="L281" s="26" t="b">
        <f ca="1">AND(الحركات[[#This Row],[مدفوع من شهر]]&lt;=VALUE(TEXT($A$2,"YYYYMM")),الحركات[[#This Row],[الحالة]]="")</f>
        <v>0</v>
      </c>
      <c r="M281" s="2" t="str">
        <f>الحركات[من صندوق]&amp;"/"&amp;الحركات[إلى صندوق]</f>
        <v>هدايا/صرف</v>
      </c>
      <c r="N281" s="2" t="str">
        <f>VLOOKUP(الحركات[من صندوق],Table1[],2,0)</f>
        <v>صرف</v>
      </c>
      <c r="O281" s="2" t="str">
        <f>VLOOKUP(الحركات[إلى صندوق],Table1[[الصندوق]:[نوعه]],2,0)</f>
        <v>خارجي</v>
      </c>
    </row>
    <row r="282" spans="1:15" x14ac:dyDescent="0.3">
      <c r="A282">
        <v>201902</v>
      </c>
      <c r="B282" s="3"/>
      <c r="C282" t="s">
        <v>20</v>
      </c>
      <c r="D282" s="15">
        <f>VLOOKUP(الحركات[[#This Row],[من صندوق]],Table5[],5,0)</f>
        <v>-10000</v>
      </c>
      <c r="E282" t="s">
        <v>18</v>
      </c>
      <c r="F282" s="15">
        <f>VLOOKUP(الحركات[[#This Row],[إلى صندوق]],Table5[[الصندوق]:[الرصيد الفعلي]],5,0)</f>
        <v>225</v>
      </c>
      <c r="G282" s="15">
        <f>IF(VLOOKUP(الحركات[إلى صندوق],Table1[],3,0)=0,VLOOKUP(الحركات[[#This Row],[من صندوق]],Table1[[الصندوق]:[القيمة الشهرية]],3,0),VLOOKUP(الحركات[إلى صندوق],Table1[],3,0))</f>
        <v>10000</v>
      </c>
      <c r="H282" s="22">
        <v>10000</v>
      </c>
      <c r="I282" s="22"/>
      <c r="J282" t="s">
        <v>40</v>
      </c>
      <c r="L282" s="26" t="b">
        <f ca="1">AND(الحركات[[#This Row],[مدفوع من شهر]]&lt;=VALUE(TEXT($A$2,"YYYYMM")),الحركات[[#This Row],[الحالة]]="")</f>
        <v>0</v>
      </c>
      <c r="M282" s="2" t="str">
        <f>الحركات[من صندوق]&amp;"/"&amp;الحركات[إلى صندوق]</f>
        <v>الشركة/الراتب</v>
      </c>
      <c r="N282" s="2" t="str">
        <f>VLOOKUP(الحركات[من صندوق],Table1[],2,0)</f>
        <v>خارجي</v>
      </c>
      <c r="O282" s="2" t="str">
        <f>VLOOKUP(الحركات[إلى صندوق],Table1[[الصندوق]:[نوعه]],2,0)</f>
        <v>دخل</v>
      </c>
    </row>
    <row r="283" spans="1:15" x14ac:dyDescent="0.3">
      <c r="A283">
        <v>201902</v>
      </c>
      <c r="B283" s="3"/>
      <c r="C283" t="s">
        <v>18</v>
      </c>
      <c r="D283" s="15">
        <f>VLOOKUP(الحركات[[#This Row],[من صندوق]],Table5[],5,0)</f>
        <v>225</v>
      </c>
      <c r="E283" t="s">
        <v>11</v>
      </c>
      <c r="F283" s="15">
        <f>VLOOKUP(الحركات[[#This Row],[إلى صندوق]],Table5[[الصندوق]:[الرصيد الفعلي]],5,0)</f>
        <v>0</v>
      </c>
      <c r="G283" s="15">
        <f>IF(VLOOKUP(الحركات[إلى صندوق],Table1[],3,0)=0,VLOOKUP(الحركات[[#This Row],[من صندوق]],Table1[[الصندوق]:[القيمة الشهرية]],3,0),VLOOKUP(الحركات[إلى صندوق],Table1[],3,0))</f>
        <v>250</v>
      </c>
      <c r="H283" s="22">
        <v>250</v>
      </c>
      <c r="I283" s="22"/>
      <c r="J283" t="s">
        <v>47</v>
      </c>
      <c r="L283" s="26" t="b">
        <f ca="1">AND(الحركات[[#This Row],[مدفوع من شهر]]&lt;=VALUE(TEXT($A$2,"YYYYMM")),الحركات[[#This Row],[الحالة]]="")</f>
        <v>0</v>
      </c>
      <c r="M283" s="2" t="str">
        <f>الحركات[من صندوق]&amp;"/"&amp;الحركات[إلى صندوق]</f>
        <v>الراتب/فواتير</v>
      </c>
      <c r="N283" s="2" t="str">
        <f>VLOOKUP(الحركات[من صندوق],Table1[],2,0)</f>
        <v>دخل</v>
      </c>
      <c r="O283" s="2" t="str">
        <f>VLOOKUP(الحركات[إلى صندوق],Table1[[الصندوق]:[نوعه]],2,0)</f>
        <v>صرف</v>
      </c>
    </row>
    <row r="284" spans="1:15" x14ac:dyDescent="0.3">
      <c r="A284">
        <v>201902</v>
      </c>
      <c r="B284" s="3"/>
      <c r="C284" t="s">
        <v>18</v>
      </c>
      <c r="D284" s="15">
        <f>VLOOKUP(الحركات[[#This Row],[من صندوق]],Table5[],5,0)</f>
        <v>225</v>
      </c>
      <c r="E284" t="s">
        <v>13</v>
      </c>
      <c r="F284" s="15">
        <f>VLOOKUP(الحركات[[#This Row],[إلى صندوق]],Table5[[الصندوق]:[الرصيد الفعلي]],5,0)</f>
        <v>0</v>
      </c>
      <c r="G284" s="15">
        <f>IF(VLOOKUP(الحركات[إلى صندوق],Table1[],3,0)=0,VLOOKUP(الحركات[[#This Row],[من صندوق]],Table1[[الصندوق]:[القيمة الشهرية]],3,0),VLOOKUP(الحركات[إلى صندوق],Table1[],3,0))</f>
        <v>3800</v>
      </c>
      <c r="H284" s="22">
        <v>3800</v>
      </c>
      <c r="I284" s="22"/>
      <c r="J284" t="s">
        <v>48</v>
      </c>
      <c r="L284" s="26" t="b">
        <f ca="1">AND(الحركات[[#This Row],[مدفوع من شهر]]&lt;=VALUE(TEXT($A$2,"YYYYMM")),الحركات[[#This Row],[الحالة]]="")</f>
        <v>0</v>
      </c>
      <c r="M284" s="2" t="str">
        <f>الحركات[من صندوق]&amp;"/"&amp;الحركات[إلى صندوق]</f>
        <v>الراتب/مصاريف شهرية</v>
      </c>
      <c r="N284" s="2" t="str">
        <f>VLOOKUP(الحركات[من صندوق],Table1[],2,0)</f>
        <v>دخل</v>
      </c>
      <c r="O284" s="2" t="str">
        <f>VLOOKUP(الحركات[إلى صندوق],Table1[[الصندوق]:[نوعه]],2,0)</f>
        <v>صرف</v>
      </c>
    </row>
    <row r="285" spans="1:15" x14ac:dyDescent="0.3">
      <c r="A285">
        <v>201902</v>
      </c>
      <c r="B285" s="3"/>
      <c r="C285" t="s">
        <v>18</v>
      </c>
      <c r="D285" s="15">
        <f>VLOOKUP(الحركات[[#This Row],[من صندوق]],Table5[],5,0)</f>
        <v>225</v>
      </c>
      <c r="E285" t="s">
        <v>3</v>
      </c>
      <c r="F285" s="15">
        <f>VLOOKUP(الحركات[[#This Row],[إلى صندوق]],Table5[[الصندوق]:[الرصيد الفعلي]],5,0)</f>
        <v>2000</v>
      </c>
      <c r="G285" s="15">
        <f>IF(VLOOKUP(الحركات[إلى صندوق],Table1[],3,0)=0,VLOOKUP(الحركات[[#This Row],[من صندوق]],Table1[[الصندوق]:[القيمة الشهرية]],3,0),VLOOKUP(الحركات[إلى صندوق],Table1[],3,0))</f>
        <v>2000</v>
      </c>
      <c r="H285" s="22">
        <v>2000</v>
      </c>
      <c r="I285" s="22"/>
      <c r="J285" t="s">
        <v>49</v>
      </c>
      <c r="L285" s="26" t="b">
        <f ca="1">AND(الحركات[[#This Row],[مدفوع من شهر]]&lt;=VALUE(TEXT($A$2,"YYYYMM")),الحركات[[#This Row],[الحالة]]="")</f>
        <v>0</v>
      </c>
      <c r="M285" s="2" t="str">
        <f>الحركات[من صندوق]&amp;"/"&amp;الحركات[إلى صندوق]</f>
        <v>الراتب/مدارس</v>
      </c>
      <c r="N285" s="2" t="str">
        <f>VLOOKUP(الحركات[من صندوق],Table1[],2,0)</f>
        <v>دخل</v>
      </c>
      <c r="O285" s="2" t="str">
        <f>VLOOKUP(الحركات[إلى صندوق],Table1[[الصندوق]:[نوعه]],2,0)</f>
        <v>صرف</v>
      </c>
    </row>
    <row r="286" spans="1:15" x14ac:dyDescent="0.3">
      <c r="A286">
        <v>201902</v>
      </c>
      <c r="B286" s="3"/>
      <c r="C286" t="s">
        <v>18</v>
      </c>
      <c r="D286" s="15">
        <f>VLOOKUP(الحركات[[#This Row],[من صندوق]],Table5[],5,0)</f>
        <v>225</v>
      </c>
      <c r="E286" t="s">
        <v>21</v>
      </c>
      <c r="F286" s="15">
        <f>VLOOKUP(الحركات[[#This Row],[إلى صندوق]],Table5[[الصندوق]:[الرصيد الفعلي]],5,0)</f>
        <v>1500</v>
      </c>
      <c r="G286" s="15">
        <f>IF(VLOOKUP(الحركات[إلى صندوق],Table1[],3,0)=0,VLOOKUP(الحركات[[#This Row],[من صندوق]],Table1[[الصندوق]:[القيمة الشهرية]],3,0),VLOOKUP(الحركات[إلى صندوق],Table1[],3,0))</f>
        <v>1500</v>
      </c>
      <c r="H286" s="22">
        <v>1500</v>
      </c>
      <c r="I286" s="22"/>
      <c r="J286" t="s">
        <v>50</v>
      </c>
      <c r="L286" s="26" t="b">
        <f ca="1">AND(الحركات[[#This Row],[مدفوع من شهر]]&lt;=VALUE(TEXT($A$2,"YYYYMM")),الحركات[[#This Row],[الحالة]]="")</f>
        <v>0</v>
      </c>
      <c r="M286" s="2" t="str">
        <f>الحركات[من صندوق]&amp;"/"&amp;الحركات[إلى صندوق]</f>
        <v>الراتب/ايجار المنزل</v>
      </c>
      <c r="N286" s="2" t="str">
        <f>VLOOKUP(الحركات[من صندوق],Table1[],2,0)</f>
        <v>دخل</v>
      </c>
      <c r="O286" s="2" t="str">
        <f>VLOOKUP(الحركات[إلى صندوق],Table1[[الصندوق]:[نوعه]],2,0)</f>
        <v>صرف</v>
      </c>
    </row>
    <row r="287" spans="1:15" x14ac:dyDescent="0.3">
      <c r="A287">
        <v>201902</v>
      </c>
      <c r="B287" s="3"/>
      <c r="C287" t="s">
        <v>18</v>
      </c>
      <c r="D287" s="15">
        <f>VLOOKUP(الحركات[[#This Row],[من صندوق]],Table5[],5,0)</f>
        <v>225</v>
      </c>
      <c r="E287" t="s">
        <v>0</v>
      </c>
      <c r="F287" s="15">
        <f>VLOOKUP(الحركات[[#This Row],[إلى صندوق]],Table5[[الصندوق]:[الرصيد الفعلي]],5,0)</f>
        <v>0</v>
      </c>
      <c r="G287" s="15">
        <f>IF(VLOOKUP(الحركات[إلى صندوق],Table1[],3,0)=0,VLOOKUP(الحركات[[#This Row],[من صندوق]],Table1[[الصندوق]:[القيمة الشهرية]],3,0),VLOOKUP(الحركات[إلى صندوق],Table1[],3,0))</f>
        <v>500</v>
      </c>
      <c r="H287" s="22">
        <v>500</v>
      </c>
      <c r="I287" s="22"/>
      <c r="J287" t="s">
        <v>51</v>
      </c>
      <c r="L287" s="26" t="b">
        <f ca="1">AND(الحركات[[#This Row],[مدفوع من شهر]]&lt;=VALUE(TEXT($A$2,"YYYYMM")),الحركات[[#This Row],[الحالة]]="")</f>
        <v>0</v>
      </c>
      <c r="M287" s="2" t="str">
        <f>الحركات[من صندوق]&amp;"/"&amp;الحركات[إلى صندوق]</f>
        <v>الراتب/توفير</v>
      </c>
      <c r="N287" s="2" t="str">
        <f>VLOOKUP(الحركات[من صندوق],Table1[],2,0)</f>
        <v>دخل</v>
      </c>
      <c r="O287" s="2" t="str">
        <f>VLOOKUP(الحركات[إلى صندوق],Table1[[الصندوق]:[نوعه]],2,0)</f>
        <v>صرف</v>
      </c>
    </row>
    <row r="288" spans="1:15" x14ac:dyDescent="0.3">
      <c r="A288">
        <v>201902</v>
      </c>
      <c r="B288" s="3"/>
      <c r="C288" t="s">
        <v>18</v>
      </c>
      <c r="D288" s="15">
        <f>VLOOKUP(الحركات[[#This Row],[من صندوق]],Table5[],5,0)</f>
        <v>225</v>
      </c>
      <c r="E288" t="s">
        <v>12</v>
      </c>
      <c r="F288" s="15">
        <f>VLOOKUP(الحركات[[#This Row],[إلى صندوق]],Table5[[الصندوق]:[الرصيد الفعلي]],5,0)</f>
        <v>400</v>
      </c>
      <c r="G288" s="15">
        <f>IF(VLOOKUP(الحركات[إلى صندوق],Table1[],3,0)=0,VLOOKUP(الحركات[[#This Row],[من صندوق]],Table1[[الصندوق]:[القيمة الشهرية]],3,0),VLOOKUP(الحركات[إلى صندوق],Table1[],3,0))</f>
        <v>400</v>
      </c>
      <c r="H288" s="22">
        <v>400</v>
      </c>
      <c r="I288" s="22"/>
      <c r="J288" t="s">
        <v>52</v>
      </c>
      <c r="L288" s="26" t="b">
        <f ca="1">AND(الحركات[[#This Row],[مدفوع من شهر]]&lt;=VALUE(TEXT($A$2,"YYYYMM")),الحركات[[#This Row],[الحالة]]="")</f>
        <v>0</v>
      </c>
      <c r="M288" s="2" t="str">
        <f>الحركات[من صندوق]&amp;"/"&amp;الحركات[إلى صندوق]</f>
        <v>الراتب/اجازات</v>
      </c>
      <c r="N288" s="2" t="str">
        <f>VLOOKUP(الحركات[من صندوق],Table1[],2,0)</f>
        <v>دخل</v>
      </c>
      <c r="O288" s="2" t="str">
        <f>VLOOKUP(الحركات[إلى صندوق],Table1[[الصندوق]:[نوعه]],2,0)</f>
        <v>صرف</v>
      </c>
    </row>
    <row r="289" spans="1:15" x14ac:dyDescent="0.3">
      <c r="A289">
        <v>201902</v>
      </c>
      <c r="B289" s="3"/>
      <c r="C289" t="s">
        <v>18</v>
      </c>
      <c r="D289" s="15">
        <f>VLOOKUP(الحركات[[#This Row],[من صندوق]],Table5[],5,0)</f>
        <v>225</v>
      </c>
      <c r="E289" t="s">
        <v>9</v>
      </c>
      <c r="F289" s="15">
        <f>VLOOKUP(الحركات[[#This Row],[إلى صندوق]],Table5[[الصندوق]:[الرصيد الفعلي]],5,0)</f>
        <v>200</v>
      </c>
      <c r="G289" s="15">
        <f>IF(VLOOKUP(الحركات[إلى صندوق],Table1[],3,0)=0,VLOOKUP(الحركات[[#This Row],[من صندوق]],Table1[[الصندوق]:[القيمة الشهرية]],3,0),VLOOKUP(الحركات[إلى صندوق],Table1[],3,0))</f>
        <v>200</v>
      </c>
      <c r="H289" s="22">
        <v>200</v>
      </c>
      <c r="I289" s="22"/>
      <c r="J289" t="s">
        <v>53</v>
      </c>
      <c r="L289" s="26" t="b">
        <f ca="1">AND(الحركات[[#This Row],[مدفوع من شهر]]&lt;=VALUE(TEXT($A$2,"YYYYMM")),الحركات[[#This Row],[الحالة]]="")</f>
        <v>0</v>
      </c>
      <c r="M289" s="2" t="str">
        <f>الحركات[من صندوق]&amp;"/"&amp;الحركات[إلى صندوق]</f>
        <v>الراتب/دورات</v>
      </c>
      <c r="N289" s="2" t="str">
        <f>VLOOKUP(الحركات[من صندوق],Table1[],2,0)</f>
        <v>دخل</v>
      </c>
      <c r="O289" s="2" t="str">
        <f>VLOOKUP(الحركات[إلى صندوق],Table1[[الصندوق]:[نوعه]],2,0)</f>
        <v>صرف</v>
      </c>
    </row>
    <row r="290" spans="1:15" x14ac:dyDescent="0.3">
      <c r="A290">
        <v>201902</v>
      </c>
      <c r="B290" s="3"/>
      <c r="C290" t="s">
        <v>18</v>
      </c>
      <c r="D290" s="15">
        <f>VLOOKUP(الحركات[[#This Row],[من صندوق]],Table5[],5,0)</f>
        <v>225</v>
      </c>
      <c r="E290" t="s">
        <v>22</v>
      </c>
      <c r="F290" s="15">
        <f>VLOOKUP(الحركات[[#This Row],[إلى صندوق]],Table5[[الصندوق]:[الرصيد الفعلي]],5,0)</f>
        <v>200</v>
      </c>
      <c r="G290" s="15">
        <f>IF(VLOOKUP(الحركات[إلى صندوق],Table1[],3,0)=0,VLOOKUP(الحركات[[#This Row],[من صندوق]],Table1[[الصندوق]:[القيمة الشهرية]],3,0),VLOOKUP(الحركات[إلى صندوق],Table1[],3,0))</f>
        <v>200</v>
      </c>
      <c r="H290" s="22">
        <v>200</v>
      </c>
      <c r="I290" s="22"/>
      <c r="J290" t="s">
        <v>54</v>
      </c>
      <c r="L290" s="26" t="b">
        <f ca="1">AND(الحركات[[#This Row],[مدفوع من شهر]]&lt;=VALUE(TEXT($A$2,"YYYYMM")),الحركات[[#This Row],[الحالة]]="")</f>
        <v>0</v>
      </c>
      <c r="M290" s="2" t="str">
        <f>الحركات[من صندوق]&amp;"/"&amp;الحركات[إلى صندوق]</f>
        <v>الراتب/زكاة</v>
      </c>
      <c r="N290" s="2" t="str">
        <f>VLOOKUP(الحركات[من صندوق],Table1[],2,0)</f>
        <v>دخل</v>
      </c>
      <c r="O290" s="2" t="str">
        <f>VLOOKUP(الحركات[إلى صندوق],Table1[[الصندوق]:[نوعه]],2,0)</f>
        <v>صرف</v>
      </c>
    </row>
    <row r="291" spans="1:15" x14ac:dyDescent="0.3">
      <c r="A291">
        <v>201902</v>
      </c>
      <c r="B291" s="3"/>
      <c r="C291" t="s">
        <v>18</v>
      </c>
      <c r="D291" s="15">
        <f>VLOOKUP(الحركات[[#This Row],[من صندوق]],Table5[],5,0)</f>
        <v>225</v>
      </c>
      <c r="E291" t="s">
        <v>10</v>
      </c>
      <c r="F291" s="15">
        <f>VLOOKUP(الحركات[[#This Row],[إلى صندوق]],Table5[[الصندوق]:[الرصيد الفعلي]],5,0)</f>
        <v>250</v>
      </c>
      <c r="G291" s="15">
        <f>IF(VLOOKUP(الحركات[إلى صندوق],Table1[],3,0)=0,VLOOKUP(الحركات[[#This Row],[من صندوق]],Table1[[الصندوق]:[القيمة الشهرية]],3,0),VLOOKUP(الحركات[إلى صندوق],Table1[],3,0))</f>
        <v>250</v>
      </c>
      <c r="H291" s="22">
        <v>250</v>
      </c>
      <c r="I291" s="22"/>
      <c r="J291" t="s">
        <v>55</v>
      </c>
      <c r="L291" s="26" t="b">
        <f ca="1">AND(الحركات[[#This Row],[مدفوع من شهر]]&lt;=VALUE(TEXT($A$2,"YYYYMM")),الحركات[[#This Row],[الحالة]]="")</f>
        <v>0</v>
      </c>
      <c r="M291" s="2" t="str">
        <f>الحركات[من صندوق]&amp;"/"&amp;الحركات[إلى صندوق]</f>
        <v>الراتب/صيانة السيارة</v>
      </c>
      <c r="N291" s="2" t="str">
        <f>VLOOKUP(الحركات[من صندوق],Table1[],2,0)</f>
        <v>دخل</v>
      </c>
      <c r="O291" s="2" t="str">
        <f>VLOOKUP(الحركات[إلى صندوق],Table1[[الصندوق]:[نوعه]],2,0)</f>
        <v>صرف</v>
      </c>
    </row>
    <row r="292" spans="1:15" x14ac:dyDescent="0.3">
      <c r="A292">
        <v>201902</v>
      </c>
      <c r="B292" s="3"/>
      <c r="C292" t="s">
        <v>18</v>
      </c>
      <c r="D292" s="15">
        <f>VLOOKUP(الحركات[[#This Row],[من صندوق]],Table5[],5,0)</f>
        <v>225</v>
      </c>
      <c r="E292" t="s">
        <v>15</v>
      </c>
      <c r="F292" s="15">
        <f>VLOOKUP(الحركات[[#This Row],[إلى صندوق]],Table5[[الصندوق]:[الرصيد الفعلي]],5,0)</f>
        <v>0</v>
      </c>
      <c r="G292" s="15">
        <f>IF(VLOOKUP(الحركات[إلى صندوق],Table1[],3,0)=0,VLOOKUP(الحركات[[#This Row],[من صندوق]],Table1[[الصندوق]:[القيمة الشهرية]],3,0),VLOOKUP(الحركات[إلى صندوق],Table1[],3,0))</f>
        <v>285</v>
      </c>
      <c r="H292" s="22">
        <v>285</v>
      </c>
      <c r="I292" s="22"/>
      <c r="J292" t="s">
        <v>56</v>
      </c>
      <c r="L292" s="26" t="b">
        <f ca="1">AND(الحركات[[#This Row],[مدفوع من شهر]]&lt;=VALUE(TEXT($A$2,"YYYYMM")),الحركات[[#This Row],[الحالة]]="")</f>
        <v>0</v>
      </c>
      <c r="M292" s="2" t="str">
        <f>الحركات[من صندوق]&amp;"/"&amp;الحركات[إلى صندوق]</f>
        <v>الراتب/ملابس</v>
      </c>
      <c r="N292" s="2" t="str">
        <f>VLOOKUP(الحركات[من صندوق],Table1[],2,0)</f>
        <v>دخل</v>
      </c>
      <c r="O292" s="2" t="str">
        <f>VLOOKUP(الحركات[إلى صندوق],Table1[[الصندوق]:[نوعه]],2,0)</f>
        <v>صرف</v>
      </c>
    </row>
    <row r="293" spans="1:15" x14ac:dyDescent="0.3">
      <c r="A293">
        <v>201902</v>
      </c>
      <c r="B293" s="3"/>
      <c r="C293" t="s">
        <v>18</v>
      </c>
      <c r="D293" s="15">
        <f>VLOOKUP(الحركات[[#This Row],[من صندوق]],Table5[],5,0)</f>
        <v>225</v>
      </c>
      <c r="E293" t="s">
        <v>1</v>
      </c>
      <c r="F293" s="15">
        <f>VLOOKUP(الحركات[[#This Row],[إلى صندوق]],Table5[[الصندوق]:[الرصيد الفعلي]],5,0)</f>
        <v>0</v>
      </c>
      <c r="G293" s="15">
        <f>IF(VLOOKUP(الحركات[إلى صندوق],Table1[],3,0)=0,VLOOKUP(الحركات[[#This Row],[من صندوق]],Table1[[الصندوق]:[القيمة الشهرية]],3,0),VLOOKUP(الحركات[إلى صندوق],Table1[],3,0))</f>
        <v>190</v>
      </c>
      <c r="H293" s="22">
        <v>190</v>
      </c>
      <c r="I293" s="22"/>
      <c r="J293" t="s">
        <v>57</v>
      </c>
      <c r="L293" s="26" t="b">
        <f ca="1">AND(الحركات[[#This Row],[مدفوع من شهر]]&lt;=VALUE(TEXT($A$2,"YYYYMM")),الحركات[[#This Row],[الحالة]]="")</f>
        <v>0</v>
      </c>
      <c r="M293" s="2" t="str">
        <f>الحركات[من صندوق]&amp;"/"&amp;الحركات[إلى صندوق]</f>
        <v>الراتب/هدايا</v>
      </c>
      <c r="N293" s="2" t="str">
        <f>VLOOKUP(الحركات[من صندوق],Table1[],2,0)</f>
        <v>دخل</v>
      </c>
      <c r="O293" s="2" t="str">
        <f>VLOOKUP(الحركات[إلى صندوق],Table1[[الصندوق]:[نوعه]],2,0)</f>
        <v>صرف</v>
      </c>
    </row>
    <row r="294" spans="1:15" x14ac:dyDescent="0.3">
      <c r="A294">
        <v>201902</v>
      </c>
      <c r="B294" s="3"/>
      <c r="C294" t="s">
        <v>18</v>
      </c>
      <c r="D294" s="15">
        <f>VLOOKUP(الحركات[[#This Row],[من صندوق]],Table5[],5,0)</f>
        <v>225</v>
      </c>
      <c r="E294" t="s">
        <v>4</v>
      </c>
      <c r="F294" s="15">
        <f>VLOOKUP(الحركات[[#This Row],[إلى صندوق]],Table5[[الصندوق]:[الرصيد الفعلي]],5,0)</f>
        <v>200</v>
      </c>
      <c r="G294" s="15">
        <f>IF(VLOOKUP(الحركات[إلى صندوق],Table1[],3,0)=0,VLOOKUP(الحركات[[#This Row],[من صندوق]],Table1[[الصندوق]:[القيمة الشهرية]],3,0),VLOOKUP(الحركات[إلى صندوق],Table1[],3,0))</f>
        <v>200</v>
      </c>
      <c r="H294" s="22">
        <v>200</v>
      </c>
      <c r="I294" s="22"/>
      <c r="J294" t="s">
        <v>58</v>
      </c>
      <c r="L294" s="26" t="b">
        <f ca="1">AND(الحركات[[#This Row],[مدفوع من شهر]]&lt;=VALUE(TEXT($A$2,"YYYYMM")),الحركات[[#This Row],[الحالة]]="")</f>
        <v>0</v>
      </c>
      <c r="M294" s="2" t="str">
        <f>الحركات[من صندوق]&amp;"/"&amp;الحركات[إلى صندوق]</f>
        <v>الراتب/طوارئ</v>
      </c>
      <c r="N294" s="2" t="str">
        <f>VLOOKUP(الحركات[من صندوق],Table1[],2,0)</f>
        <v>دخل</v>
      </c>
      <c r="O294" s="2" t="str">
        <f>VLOOKUP(الحركات[إلى صندوق],Table1[[الصندوق]:[نوعه]],2,0)</f>
        <v>صرف</v>
      </c>
    </row>
    <row r="295" spans="1:15" x14ac:dyDescent="0.3">
      <c r="A295">
        <v>201902</v>
      </c>
      <c r="B295" s="3"/>
      <c r="C295" t="s">
        <v>11</v>
      </c>
      <c r="D295" s="15">
        <f>VLOOKUP(الحركات[[#This Row],[من صندوق]],Table5[],5,0)</f>
        <v>0</v>
      </c>
      <c r="E295" t="s">
        <v>14</v>
      </c>
      <c r="F295" s="15">
        <f>VLOOKUP(الحركات[[#This Row],[إلى صندوق]],Table5[[الصندوق]:[الرصيد الفعلي]],5,0)</f>
        <v>5025</v>
      </c>
      <c r="G295" s="15">
        <f>IF(VLOOKUP(الحركات[إلى صندوق],Table1[],3,0)=0,VLOOKUP(الحركات[[#This Row],[من صندوق]],Table1[[الصندوق]:[القيمة الشهرية]],3,0),VLOOKUP(الحركات[إلى صندوق],Table1[],3,0))</f>
        <v>250</v>
      </c>
      <c r="H295" s="22">
        <v>250</v>
      </c>
      <c r="I295" s="22"/>
      <c r="J295" t="s">
        <v>59</v>
      </c>
      <c r="L295" s="26" t="b">
        <f ca="1">AND(الحركات[[#This Row],[مدفوع من شهر]]&lt;=VALUE(TEXT($A$2,"YYYYMM")),الحركات[[#This Row],[الحالة]]="")</f>
        <v>0</v>
      </c>
      <c r="M295" s="2" t="str">
        <f>الحركات[من صندوق]&amp;"/"&amp;الحركات[إلى صندوق]</f>
        <v>فواتير/صرف</v>
      </c>
      <c r="N295" s="2" t="str">
        <f>VLOOKUP(الحركات[من صندوق],Table1[],2,0)</f>
        <v>صرف</v>
      </c>
      <c r="O295" s="2" t="str">
        <f>VLOOKUP(الحركات[إلى صندوق],Table1[[الصندوق]:[نوعه]],2,0)</f>
        <v>خارجي</v>
      </c>
    </row>
    <row r="296" spans="1:15" x14ac:dyDescent="0.3">
      <c r="A296">
        <v>201902</v>
      </c>
      <c r="B296" s="3"/>
      <c r="C296" t="s">
        <v>13</v>
      </c>
      <c r="D296" s="15">
        <f>VLOOKUP(الحركات[[#This Row],[من صندوق]],Table5[],5,0)</f>
        <v>0</v>
      </c>
      <c r="E296" t="s">
        <v>14</v>
      </c>
      <c r="F296" s="15">
        <f>VLOOKUP(الحركات[[#This Row],[إلى صندوق]],Table5[[الصندوق]:[الرصيد الفعلي]],5,0)</f>
        <v>5025</v>
      </c>
      <c r="G296" s="15">
        <f>IF(VLOOKUP(الحركات[إلى صندوق],Table1[],3,0)=0,VLOOKUP(الحركات[[#This Row],[من صندوق]],Table1[[الصندوق]:[القيمة الشهرية]],3,0),VLOOKUP(الحركات[إلى صندوق],Table1[],3,0))</f>
        <v>3800</v>
      </c>
      <c r="H296" s="22">
        <v>3800</v>
      </c>
      <c r="I296" s="22"/>
      <c r="J296" t="s">
        <v>60</v>
      </c>
      <c r="L296" s="26" t="b">
        <f ca="1">AND(الحركات[[#This Row],[مدفوع من شهر]]&lt;=VALUE(TEXT($A$2,"YYYYMM")),الحركات[[#This Row],[الحالة]]="")</f>
        <v>0</v>
      </c>
      <c r="M296" s="2" t="str">
        <f>الحركات[من صندوق]&amp;"/"&amp;الحركات[إلى صندوق]</f>
        <v>مصاريف شهرية/صرف</v>
      </c>
      <c r="N296" s="2" t="str">
        <f>VLOOKUP(الحركات[من صندوق],Table1[],2,0)</f>
        <v>صرف</v>
      </c>
      <c r="O296" s="2" t="str">
        <f>VLOOKUP(الحركات[إلى صندوق],Table1[[الصندوق]:[نوعه]],2,0)</f>
        <v>خارجي</v>
      </c>
    </row>
    <row r="297" spans="1:15" x14ac:dyDescent="0.3">
      <c r="A297">
        <v>201902</v>
      </c>
      <c r="B297" s="3"/>
      <c r="C297" t="s">
        <v>3</v>
      </c>
      <c r="D297" s="15">
        <f>VLOOKUP(الحركات[[#This Row],[من صندوق]],Table5[],5,0)</f>
        <v>2000</v>
      </c>
      <c r="E297" t="s">
        <v>14</v>
      </c>
      <c r="F297" s="15">
        <f>VLOOKUP(الحركات[[#This Row],[إلى صندوق]],Table5[[الصندوق]:[الرصيد الفعلي]],5,0)</f>
        <v>5025</v>
      </c>
      <c r="G297" s="15">
        <f>IF(VLOOKUP(الحركات[إلى صندوق],Table1[],3,0)=0,VLOOKUP(الحركات[[#This Row],[من صندوق]],Table1[[الصندوق]:[القيمة الشهرية]],3,0),VLOOKUP(الحركات[إلى صندوق],Table1[],3,0))</f>
        <v>2000</v>
      </c>
      <c r="H297" s="22">
        <v>8000</v>
      </c>
      <c r="I297" s="22"/>
      <c r="J297" t="s">
        <v>61</v>
      </c>
      <c r="L297" s="26" t="b">
        <f ca="1">AND(الحركات[[#This Row],[مدفوع من شهر]]&lt;=VALUE(TEXT($A$2,"YYYYMM")),الحركات[[#This Row],[الحالة]]="")</f>
        <v>0</v>
      </c>
      <c r="M297" s="2" t="str">
        <f>الحركات[من صندوق]&amp;"/"&amp;الحركات[إلى صندوق]</f>
        <v>مدارس/صرف</v>
      </c>
      <c r="N297" s="2" t="str">
        <f>VLOOKUP(الحركات[من صندوق],Table1[],2,0)</f>
        <v>صرف</v>
      </c>
      <c r="O297" s="2" t="str">
        <f>VLOOKUP(الحركات[إلى صندوق],Table1[[الصندوق]:[نوعه]],2,0)</f>
        <v>خارجي</v>
      </c>
    </row>
    <row r="298" spans="1:15" x14ac:dyDescent="0.3">
      <c r="A298">
        <v>201902</v>
      </c>
      <c r="B298" s="3"/>
      <c r="C298" t="s">
        <v>0</v>
      </c>
      <c r="D298" s="15">
        <f>VLOOKUP(الحركات[[#This Row],[من صندوق]],Table5[],5,0)</f>
        <v>0</v>
      </c>
      <c r="E298" t="s">
        <v>14</v>
      </c>
      <c r="F298" s="15">
        <f>VLOOKUP(الحركات[[#This Row],[إلى صندوق]],Table5[[الصندوق]:[الرصيد الفعلي]],5,0)</f>
        <v>5025</v>
      </c>
      <c r="G298" s="15">
        <f>IF(VLOOKUP(الحركات[إلى صندوق],Table1[],3,0)=0,VLOOKUP(الحركات[[#This Row],[من صندوق]],Table1[[الصندوق]:[القيمة الشهرية]],3,0),VLOOKUP(الحركات[إلى صندوق],Table1[],3,0))</f>
        <v>500</v>
      </c>
      <c r="H298" s="22">
        <v>500</v>
      </c>
      <c r="I298" s="22"/>
      <c r="J298" t="s">
        <v>66</v>
      </c>
      <c r="L298" s="26" t="b">
        <f ca="1">AND(الحركات[[#This Row],[مدفوع من شهر]]&lt;=VALUE(TEXT($A$2,"YYYYMM")),الحركات[[#This Row],[الحالة]]="")</f>
        <v>0</v>
      </c>
      <c r="M298" s="2" t="str">
        <f>الحركات[من صندوق]&amp;"/"&amp;الحركات[إلى صندوق]</f>
        <v>توفير/صرف</v>
      </c>
      <c r="N298" s="2" t="str">
        <f>VLOOKUP(الحركات[من صندوق],Table1[],2,0)</f>
        <v>صرف</v>
      </c>
      <c r="O298" s="2" t="str">
        <f>VLOOKUP(الحركات[إلى صندوق],Table1[[الصندوق]:[نوعه]],2,0)</f>
        <v>خارجي</v>
      </c>
    </row>
    <row r="299" spans="1:15" x14ac:dyDescent="0.3">
      <c r="A299">
        <v>201902</v>
      </c>
      <c r="B299" s="3"/>
      <c r="C299" t="s">
        <v>15</v>
      </c>
      <c r="D299" s="15">
        <f>VLOOKUP(الحركات[[#This Row],[من صندوق]],Table5[],5,0)</f>
        <v>0</v>
      </c>
      <c r="E299" t="s">
        <v>14</v>
      </c>
      <c r="F299" s="15">
        <f>VLOOKUP(الحركات[[#This Row],[إلى صندوق]],Table5[[الصندوق]:[الرصيد الفعلي]],5,0)</f>
        <v>5025</v>
      </c>
      <c r="G299" s="15">
        <f>IF(VLOOKUP(الحركات[إلى صندوق],Table1[],3,0)=0,VLOOKUP(الحركات[[#This Row],[من صندوق]],Table1[[الصندوق]:[القيمة الشهرية]],3,0),VLOOKUP(الحركات[إلى صندوق],Table1[],3,0))</f>
        <v>285</v>
      </c>
      <c r="H299" s="22">
        <v>285</v>
      </c>
      <c r="I299" s="22"/>
      <c r="J299" t="s">
        <v>71</v>
      </c>
      <c r="L299" s="26" t="b">
        <f ca="1">AND(الحركات[[#This Row],[مدفوع من شهر]]&lt;=VALUE(TEXT($A$2,"YYYYMM")),الحركات[[#This Row],[الحالة]]="")</f>
        <v>0</v>
      </c>
      <c r="M299" s="2" t="str">
        <f>الحركات[من صندوق]&amp;"/"&amp;الحركات[إلى صندوق]</f>
        <v>ملابس/صرف</v>
      </c>
      <c r="N299" s="2" t="str">
        <f>VLOOKUP(الحركات[من صندوق],Table1[],2,0)</f>
        <v>صرف</v>
      </c>
      <c r="O299" s="2" t="str">
        <f>VLOOKUP(الحركات[إلى صندوق],Table1[[الصندوق]:[نوعه]],2,0)</f>
        <v>خارجي</v>
      </c>
    </row>
    <row r="300" spans="1:15" x14ac:dyDescent="0.3">
      <c r="A300">
        <v>201902</v>
      </c>
      <c r="B300" s="3"/>
      <c r="C300" t="s">
        <v>1</v>
      </c>
      <c r="D300" s="15">
        <f>VLOOKUP(الحركات[[#This Row],[من صندوق]],Table5[],5,0)</f>
        <v>0</v>
      </c>
      <c r="E300" t="s">
        <v>14</v>
      </c>
      <c r="F300" s="15">
        <f>VLOOKUP(الحركات[[#This Row],[إلى صندوق]],Table5[[الصندوق]:[الرصيد الفعلي]],5,0)</f>
        <v>5025</v>
      </c>
      <c r="G300" s="15">
        <f>IF(VLOOKUP(الحركات[إلى صندوق],Table1[],3,0)=0,VLOOKUP(الحركات[[#This Row],[من صندوق]],Table1[[الصندوق]:[القيمة الشهرية]],3,0),VLOOKUP(الحركات[إلى صندوق],Table1[],3,0))</f>
        <v>190</v>
      </c>
      <c r="H300" s="22">
        <v>190</v>
      </c>
      <c r="I300" s="22"/>
      <c r="J300" t="s">
        <v>72</v>
      </c>
      <c r="L300" s="26" t="b">
        <f ca="1">AND(الحركات[[#This Row],[مدفوع من شهر]]&lt;=VALUE(TEXT($A$2,"YYYYMM")),الحركات[[#This Row],[الحالة]]="")</f>
        <v>0</v>
      </c>
      <c r="M300" s="2" t="str">
        <f>الحركات[من صندوق]&amp;"/"&amp;الحركات[إلى صندوق]</f>
        <v>هدايا/صرف</v>
      </c>
      <c r="N300" s="2" t="str">
        <f>VLOOKUP(الحركات[من صندوق],Table1[],2,0)</f>
        <v>صرف</v>
      </c>
      <c r="O300" s="2" t="str">
        <f>VLOOKUP(الحركات[إلى صندوق],Table1[[الصندوق]:[نوعه]],2,0)</f>
        <v>خارجي</v>
      </c>
    </row>
    <row r="301" spans="1:15" x14ac:dyDescent="0.3">
      <c r="A301">
        <v>201903</v>
      </c>
      <c r="B301" s="3"/>
      <c r="C301" t="s">
        <v>20</v>
      </c>
      <c r="D301" s="15">
        <f>VLOOKUP(الحركات[[#This Row],[من صندوق]],Table5[],5,0)</f>
        <v>-10000</v>
      </c>
      <c r="E301" t="s">
        <v>18</v>
      </c>
      <c r="F301" s="15">
        <f>VLOOKUP(الحركات[[#This Row],[إلى صندوق]],Table5[[الصندوق]:[الرصيد الفعلي]],5,0)</f>
        <v>225</v>
      </c>
      <c r="G301" s="15">
        <f>IF(VLOOKUP(الحركات[إلى صندوق],Table1[],3,0)=0,VLOOKUP(الحركات[[#This Row],[من صندوق]],Table1[[الصندوق]:[القيمة الشهرية]],3,0),VLOOKUP(الحركات[إلى صندوق],Table1[],3,0))</f>
        <v>10000</v>
      </c>
      <c r="H301" s="22">
        <v>10000</v>
      </c>
      <c r="I301" s="22"/>
      <c r="J301" t="s">
        <v>40</v>
      </c>
      <c r="L301" s="26" t="b">
        <f ca="1">AND(الحركات[[#This Row],[مدفوع من شهر]]&lt;=VALUE(TEXT($A$2,"YYYYMM")),الحركات[[#This Row],[الحالة]]="")</f>
        <v>0</v>
      </c>
      <c r="M301" s="2" t="str">
        <f>الحركات[من صندوق]&amp;"/"&amp;الحركات[إلى صندوق]</f>
        <v>الشركة/الراتب</v>
      </c>
      <c r="N301" s="2" t="str">
        <f>VLOOKUP(الحركات[من صندوق],Table1[],2,0)</f>
        <v>خارجي</v>
      </c>
      <c r="O301" s="2" t="str">
        <f>VLOOKUP(الحركات[إلى صندوق],Table1[[الصندوق]:[نوعه]],2,0)</f>
        <v>دخل</v>
      </c>
    </row>
    <row r="302" spans="1:15" x14ac:dyDescent="0.3">
      <c r="A302">
        <v>201903</v>
      </c>
      <c r="B302" s="3"/>
      <c r="C302" t="s">
        <v>18</v>
      </c>
      <c r="D302" s="15">
        <f>VLOOKUP(الحركات[[#This Row],[من صندوق]],Table5[],5,0)</f>
        <v>225</v>
      </c>
      <c r="E302" t="s">
        <v>11</v>
      </c>
      <c r="F302" s="15">
        <f>VLOOKUP(الحركات[[#This Row],[إلى صندوق]],Table5[[الصندوق]:[الرصيد الفعلي]],5,0)</f>
        <v>0</v>
      </c>
      <c r="G302" s="15">
        <f>IF(VLOOKUP(الحركات[إلى صندوق],Table1[],3,0)=0,VLOOKUP(الحركات[[#This Row],[من صندوق]],Table1[[الصندوق]:[القيمة الشهرية]],3,0),VLOOKUP(الحركات[إلى صندوق],Table1[],3,0))</f>
        <v>250</v>
      </c>
      <c r="H302" s="22">
        <v>250</v>
      </c>
      <c r="I302" s="22"/>
      <c r="J302" t="s">
        <v>47</v>
      </c>
      <c r="L302" s="26" t="b">
        <f ca="1">AND(الحركات[[#This Row],[مدفوع من شهر]]&lt;=VALUE(TEXT($A$2,"YYYYMM")),الحركات[[#This Row],[الحالة]]="")</f>
        <v>0</v>
      </c>
      <c r="M302" s="2" t="str">
        <f>الحركات[من صندوق]&amp;"/"&amp;الحركات[إلى صندوق]</f>
        <v>الراتب/فواتير</v>
      </c>
      <c r="N302" s="2" t="str">
        <f>VLOOKUP(الحركات[من صندوق],Table1[],2,0)</f>
        <v>دخل</v>
      </c>
      <c r="O302" s="2" t="str">
        <f>VLOOKUP(الحركات[إلى صندوق],Table1[[الصندوق]:[نوعه]],2,0)</f>
        <v>صرف</v>
      </c>
    </row>
    <row r="303" spans="1:15" x14ac:dyDescent="0.3">
      <c r="A303">
        <v>201903</v>
      </c>
      <c r="B303" s="3"/>
      <c r="C303" t="s">
        <v>18</v>
      </c>
      <c r="D303" s="15">
        <f>VLOOKUP(الحركات[[#This Row],[من صندوق]],Table5[],5,0)</f>
        <v>225</v>
      </c>
      <c r="E303" t="s">
        <v>13</v>
      </c>
      <c r="F303" s="15">
        <f>VLOOKUP(الحركات[[#This Row],[إلى صندوق]],Table5[[الصندوق]:[الرصيد الفعلي]],5,0)</f>
        <v>0</v>
      </c>
      <c r="G303" s="15">
        <f>IF(VLOOKUP(الحركات[إلى صندوق],Table1[],3,0)=0,VLOOKUP(الحركات[[#This Row],[من صندوق]],Table1[[الصندوق]:[القيمة الشهرية]],3,0),VLOOKUP(الحركات[إلى صندوق],Table1[],3,0))</f>
        <v>3800</v>
      </c>
      <c r="H303" s="22">
        <v>3800</v>
      </c>
      <c r="I303" s="22"/>
      <c r="J303" t="s">
        <v>48</v>
      </c>
      <c r="L303" s="26" t="b">
        <f ca="1">AND(الحركات[[#This Row],[مدفوع من شهر]]&lt;=VALUE(TEXT($A$2,"YYYYMM")),الحركات[[#This Row],[الحالة]]="")</f>
        <v>0</v>
      </c>
      <c r="M303" s="2" t="str">
        <f>الحركات[من صندوق]&amp;"/"&amp;الحركات[إلى صندوق]</f>
        <v>الراتب/مصاريف شهرية</v>
      </c>
      <c r="N303" s="2" t="str">
        <f>VLOOKUP(الحركات[من صندوق],Table1[],2,0)</f>
        <v>دخل</v>
      </c>
      <c r="O303" s="2" t="str">
        <f>VLOOKUP(الحركات[إلى صندوق],Table1[[الصندوق]:[نوعه]],2,0)</f>
        <v>صرف</v>
      </c>
    </row>
    <row r="304" spans="1:15" x14ac:dyDescent="0.3">
      <c r="A304">
        <v>201903</v>
      </c>
      <c r="B304" s="3"/>
      <c r="C304" t="s">
        <v>18</v>
      </c>
      <c r="D304" s="15">
        <f>VLOOKUP(الحركات[[#This Row],[من صندوق]],Table5[],5,0)</f>
        <v>225</v>
      </c>
      <c r="E304" t="s">
        <v>3</v>
      </c>
      <c r="F304" s="15">
        <f>VLOOKUP(الحركات[[#This Row],[إلى صندوق]],Table5[[الصندوق]:[الرصيد الفعلي]],5,0)</f>
        <v>2000</v>
      </c>
      <c r="G304" s="15">
        <f>IF(VLOOKUP(الحركات[إلى صندوق],Table1[],3,0)=0,VLOOKUP(الحركات[[#This Row],[من صندوق]],Table1[[الصندوق]:[القيمة الشهرية]],3,0),VLOOKUP(الحركات[إلى صندوق],Table1[],3,0))</f>
        <v>2000</v>
      </c>
      <c r="H304" s="22">
        <v>2000</v>
      </c>
      <c r="I304" s="22"/>
      <c r="J304" t="s">
        <v>49</v>
      </c>
      <c r="L304" s="26" t="b">
        <f ca="1">AND(الحركات[[#This Row],[مدفوع من شهر]]&lt;=VALUE(TEXT($A$2,"YYYYMM")),الحركات[[#This Row],[الحالة]]="")</f>
        <v>0</v>
      </c>
      <c r="M304" s="2" t="str">
        <f>الحركات[من صندوق]&amp;"/"&amp;الحركات[إلى صندوق]</f>
        <v>الراتب/مدارس</v>
      </c>
      <c r="N304" s="2" t="str">
        <f>VLOOKUP(الحركات[من صندوق],Table1[],2,0)</f>
        <v>دخل</v>
      </c>
      <c r="O304" s="2" t="str">
        <f>VLOOKUP(الحركات[إلى صندوق],Table1[[الصندوق]:[نوعه]],2,0)</f>
        <v>صرف</v>
      </c>
    </row>
    <row r="305" spans="1:15" x14ac:dyDescent="0.3">
      <c r="A305">
        <v>201903</v>
      </c>
      <c r="B305" s="3"/>
      <c r="C305" t="s">
        <v>18</v>
      </c>
      <c r="D305" s="15">
        <f>VLOOKUP(الحركات[[#This Row],[من صندوق]],Table5[],5,0)</f>
        <v>225</v>
      </c>
      <c r="E305" t="s">
        <v>21</v>
      </c>
      <c r="F305" s="15">
        <f>VLOOKUP(الحركات[[#This Row],[إلى صندوق]],Table5[[الصندوق]:[الرصيد الفعلي]],5,0)</f>
        <v>1500</v>
      </c>
      <c r="G305" s="15">
        <f>IF(VLOOKUP(الحركات[إلى صندوق],Table1[],3,0)=0,VLOOKUP(الحركات[[#This Row],[من صندوق]],Table1[[الصندوق]:[القيمة الشهرية]],3,0),VLOOKUP(الحركات[إلى صندوق],Table1[],3,0))</f>
        <v>1500</v>
      </c>
      <c r="H305" s="22">
        <v>1500</v>
      </c>
      <c r="I305" s="22"/>
      <c r="J305" t="s">
        <v>50</v>
      </c>
      <c r="L305" s="26" t="b">
        <f ca="1">AND(الحركات[[#This Row],[مدفوع من شهر]]&lt;=VALUE(TEXT($A$2,"YYYYMM")),الحركات[[#This Row],[الحالة]]="")</f>
        <v>0</v>
      </c>
      <c r="M305" s="2" t="str">
        <f>الحركات[من صندوق]&amp;"/"&amp;الحركات[إلى صندوق]</f>
        <v>الراتب/ايجار المنزل</v>
      </c>
      <c r="N305" s="2" t="str">
        <f>VLOOKUP(الحركات[من صندوق],Table1[],2,0)</f>
        <v>دخل</v>
      </c>
      <c r="O305" s="2" t="str">
        <f>VLOOKUP(الحركات[إلى صندوق],Table1[[الصندوق]:[نوعه]],2,0)</f>
        <v>صرف</v>
      </c>
    </row>
    <row r="306" spans="1:15" x14ac:dyDescent="0.3">
      <c r="A306">
        <v>201903</v>
      </c>
      <c r="B306" s="3"/>
      <c r="C306" t="s">
        <v>18</v>
      </c>
      <c r="D306" s="15">
        <f>VLOOKUP(الحركات[[#This Row],[من صندوق]],Table5[],5,0)</f>
        <v>225</v>
      </c>
      <c r="E306" t="s">
        <v>0</v>
      </c>
      <c r="F306" s="15">
        <f>VLOOKUP(الحركات[[#This Row],[إلى صندوق]],Table5[[الصندوق]:[الرصيد الفعلي]],5,0)</f>
        <v>0</v>
      </c>
      <c r="G306" s="15">
        <f>IF(VLOOKUP(الحركات[إلى صندوق],Table1[],3,0)=0,VLOOKUP(الحركات[[#This Row],[من صندوق]],Table1[[الصندوق]:[القيمة الشهرية]],3,0),VLOOKUP(الحركات[إلى صندوق],Table1[],3,0))</f>
        <v>500</v>
      </c>
      <c r="H306" s="22">
        <v>500</v>
      </c>
      <c r="I306" s="22"/>
      <c r="J306" t="s">
        <v>51</v>
      </c>
      <c r="L306" s="26" t="b">
        <f ca="1">AND(الحركات[[#This Row],[مدفوع من شهر]]&lt;=VALUE(TEXT($A$2,"YYYYMM")),الحركات[[#This Row],[الحالة]]="")</f>
        <v>0</v>
      </c>
      <c r="M306" s="2" t="str">
        <f>الحركات[من صندوق]&amp;"/"&amp;الحركات[إلى صندوق]</f>
        <v>الراتب/توفير</v>
      </c>
      <c r="N306" s="2" t="str">
        <f>VLOOKUP(الحركات[من صندوق],Table1[],2,0)</f>
        <v>دخل</v>
      </c>
      <c r="O306" s="2" t="str">
        <f>VLOOKUP(الحركات[إلى صندوق],Table1[[الصندوق]:[نوعه]],2,0)</f>
        <v>صرف</v>
      </c>
    </row>
    <row r="307" spans="1:15" x14ac:dyDescent="0.3">
      <c r="A307">
        <v>201903</v>
      </c>
      <c r="B307" s="3"/>
      <c r="C307" t="s">
        <v>18</v>
      </c>
      <c r="D307" s="15">
        <f>VLOOKUP(الحركات[[#This Row],[من صندوق]],Table5[],5,0)</f>
        <v>225</v>
      </c>
      <c r="E307" t="s">
        <v>12</v>
      </c>
      <c r="F307" s="15">
        <f>VLOOKUP(الحركات[[#This Row],[إلى صندوق]],Table5[[الصندوق]:[الرصيد الفعلي]],5,0)</f>
        <v>400</v>
      </c>
      <c r="G307" s="15">
        <f>IF(VLOOKUP(الحركات[إلى صندوق],Table1[],3,0)=0,VLOOKUP(الحركات[[#This Row],[من صندوق]],Table1[[الصندوق]:[القيمة الشهرية]],3,0),VLOOKUP(الحركات[إلى صندوق],Table1[],3,0))</f>
        <v>400</v>
      </c>
      <c r="H307" s="22">
        <v>400</v>
      </c>
      <c r="I307" s="22"/>
      <c r="J307" t="s">
        <v>52</v>
      </c>
      <c r="L307" s="26" t="b">
        <f ca="1">AND(الحركات[[#This Row],[مدفوع من شهر]]&lt;=VALUE(TEXT($A$2,"YYYYMM")),الحركات[[#This Row],[الحالة]]="")</f>
        <v>0</v>
      </c>
      <c r="M307" s="2" t="str">
        <f>الحركات[من صندوق]&amp;"/"&amp;الحركات[إلى صندوق]</f>
        <v>الراتب/اجازات</v>
      </c>
      <c r="N307" s="2" t="str">
        <f>VLOOKUP(الحركات[من صندوق],Table1[],2,0)</f>
        <v>دخل</v>
      </c>
      <c r="O307" s="2" t="str">
        <f>VLOOKUP(الحركات[إلى صندوق],Table1[[الصندوق]:[نوعه]],2,0)</f>
        <v>صرف</v>
      </c>
    </row>
    <row r="308" spans="1:15" x14ac:dyDescent="0.3">
      <c r="A308">
        <v>201903</v>
      </c>
      <c r="B308" s="3"/>
      <c r="C308" t="s">
        <v>18</v>
      </c>
      <c r="D308" s="15">
        <f>VLOOKUP(الحركات[[#This Row],[من صندوق]],Table5[],5,0)</f>
        <v>225</v>
      </c>
      <c r="E308" t="s">
        <v>9</v>
      </c>
      <c r="F308" s="15">
        <f>VLOOKUP(الحركات[[#This Row],[إلى صندوق]],Table5[[الصندوق]:[الرصيد الفعلي]],5,0)</f>
        <v>200</v>
      </c>
      <c r="G308" s="15">
        <f>IF(VLOOKUP(الحركات[إلى صندوق],Table1[],3,0)=0,VLOOKUP(الحركات[[#This Row],[من صندوق]],Table1[[الصندوق]:[القيمة الشهرية]],3,0),VLOOKUP(الحركات[إلى صندوق],Table1[],3,0))</f>
        <v>200</v>
      </c>
      <c r="H308" s="22">
        <v>200</v>
      </c>
      <c r="I308" s="22"/>
      <c r="J308" t="s">
        <v>53</v>
      </c>
      <c r="L308" s="26" t="b">
        <f ca="1">AND(الحركات[[#This Row],[مدفوع من شهر]]&lt;=VALUE(TEXT($A$2,"YYYYMM")),الحركات[[#This Row],[الحالة]]="")</f>
        <v>0</v>
      </c>
      <c r="M308" s="2" t="str">
        <f>الحركات[من صندوق]&amp;"/"&amp;الحركات[إلى صندوق]</f>
        <v>الراتب/دورات</v>
      </c>
      <c r="N308" s="2" t="str">
        <f>VLOOKUP(الحركات[من صندوق],Table1[],2,0)</f>
        <v>دخل</v>
      </c>
      <c r="O308" s="2" t="str">
        <f>VLOOKUP(الحركات[إلى صندوق],Table1[[الصندوق]:[نوعه]],2,0)</f>
        <v>صرف</v>
      </c>
    </row>
    <row r="309" spans="1:15" x14ac:dyDescent="0.3">
      <c r="A309">
        <v>201903</v>
      </c>
      <c r="B309" s="3"/>
      <c r="C309" t="s">
        <v>18</v>
      </c>
      <c r="D309" s="15">
        <f>VLOOKUP(الحركات[[#This Row],[من صندوق]],Table5[],5,0)</f>
        <v>225</v>
      </c>
      <c r="E309" t="s">
        <v>22</v>
      </c>
      <c r="F309" s="15">
        <f>VLOOKUP(الحركات[[#This Row],[إلى صندوق]],Table5[[الصندوق]:[الرصيد الفعلي]],5,0)</f>
        <v>200</v>
      </c>
      <c r="G309" s="15">
        <f>IF(VLOOKUP(الحركات[إلى صندوق],Table1[],3,0)=0,VLOOKUP(الحركات[[#This Row],[من صندوق]],Table1[[الصندوق]:[القيمة الشهرية]],3,0),VLOOKUP(الحركات[إلى صندوق],Table1[],3,0))</f>
        <v>200</v>
      </c>
      <c r="H309" s="22">
        <v>200</v>
      </c>
      <c r="I309" s="22"/>
      <c r="J309" t="s">
        <v>54</v>
      </c>
      <c r="L309" s="26" t="b">
        <f ca="1">AND(الحركات[[#This Row],[مدفوع من شهر]]&lt;=VALUE(TEXT($A$2,"YYYYMM")),الحركات[[#This Row],[الحالة]]="")</f>
        <v>0</v>
      </c>
      <c r="M309" s="2" t="str">
        <f>الحركات[من صندوق]&amp;"/"&amp;الحركات[إلى صندوق]</f>
        <v>الراتب/زكاة</v>
      </c>
      <c r="N309" s="2" t="str">
        <f>VLOOKUP(الحركات[من صندوق],Table1[],2,0)</f>
        <v>دخل</v>
      </c>
      <c r="O309" s="2" t="str">
        <f>VLOOKUP(الحركات[إلى صندوق],Table1[[الصندوق]:[نوعه]],2,0)</f>
        <v>صرف</v>
      </c>
    </row>
    <row r="310" spans="1:15" x14ac:dyDescent="0.3">
      <c r="A310">
        <v>201903</v>
      </c>
      <c r="B310" s="3"/>
      <c r="C310" t="s">
        <v>18</v>
      </c>
      <c r="D310" s="15">
        <f>VLOOKUP(الحركات[[#This Row],[من صندوق]],Table5[],5,0)</f>
        <v>225</v>
      </c>
      <c r="E310" t="s">
        <v>10</v>
      </c>
      <c r="F310" s="15">
        <f>VLOOKUP(الحركات[[#This Row],[إلى صندوق]],Table5[[الصندوق]:[الرصيد الفعلي]],5,0)</f>
        <v>250</v>
      </c>
      <c r="G310" s="15">
        <f>IF(VLOOKUP(الحركات[إلى صندوق],Table1[],3,0)=0,VLOOKUP(الحركات[[#This Row],[من صندوق]],Table1[[الصندوق]:[القيمة الشهرية]],3,0),VLOOKUP(الحركات[إلى صندوق],Table1[],3,0))</f>
        <v>250</v>
      </c>
      <c r="H310" s="22">
        <v>250</v>
      </c>
      <c r="I310" s="22"/>
      <c r="J310" t="s">
        <v>55</v>
      </c>
      <c r="L310" s="26" t="b">
        <f ca="1">AND(الحركات[[#This Row],[مدفوع من شهر]]&lt;=VALUE(TEXT($A$2,"YYYYMM")),الحركات[[#This Row],[الحالة]]="")</f>
        <v>0</v>
      </c>
      <c r="M310" s="2" t="str">
        <f>الحركات[من صندوق]&amp;"/"&amp;الحركات[إلى صندوق]</f>
        <v>الراتب/صيانة السيارة</v>
      </c>
      <c r="N310" s="2" t="str">
        <f>VLOOKUP(الحركات[من صندوق],Table1[],2,0)</f>
        <v>دخل</v>
      </c>
      <c r="O310" s="2" t="str">
        <f>VLOOKUP(الحركات[إلى صندوق],Table1[[الصندوق]:[نوعه]],2,0)</f>
        <v>صرف</v>
      </c>
    </row>
    <row r="311" spans="1:15" x14ac:dyDescent="0.3">
      <c r="A311">
        <v>201903</v>
      </c>
      <c r="B311" s="3"/>
      <c r="C311" t="s">
        <v>18</v>
      </c>
      <c r="D311" s="15">
        <f>VLOOKUP(الحركات[[#This Row],[من صندوق]],Table5[],5,0)</f>
        <v>225</v>
      </c>
      <c r="E311" t="s">
        <v>15</v>
      </c>
      <c r="F311" s="15">
        <f>VLOOKUP(الحركات[[#This Row],[إلى صندوق]],Table5[[الصندوق]:[الرصيد الفعلي]],5,0)</f>
        <v>0</v>
      </c>
      <c r="G311" s="15">
        <f>IF(VLOOKUP(الحركات[إلى صندوق],Table1[],3,0)=0,VLOOKUP(الحركات[[#This Row],[من صندوق]],Table1[[الصندوق]:[القيمة الشهرية]],3,0),VLOOKUP(الحركات[إلى صندوق],Table1[],3,0))</f>
        <v>285</v>
      </c>
      <c r="H311" s="22">
        <v>285</v>
      </c>
      <c r="I311" s="22"/>
      <c r="J311" t="s">
        <v>56</v>
      </c>
      <c r="L311" s="26" t="b">
        <f ca="1">AND(الحركات[[#This Row],[مدفوع من شهر]]&lt;=VALUE(TEXT($A$2,"YYYYMM")),الحركات[[#This Row],[الحالة]]="")</f>
        <v>0</v>
      </c>
      <c r="M311" s="2" t="str">
        <f>الحركات[من صندوق]&amp;"/"&amp;الحركات[إلى صندوق]</f>
        <v>الراتب/ملابس</v>
      </c>
      <c r="N311" s="2" t="str">
        <f>VLOOKUP(الحركات[من صندوق],Table1[],2,0)</f>
        <v>دخل</v>
      </c>
      <c r="O311" s="2" t="str">
        <f>VLOOKUP(الحركات[إلى صندوق],Table1[[الصندوق]:[نوعه]],2,0)</f>
        <v>صرف</v>
      </c>
    </row>
    <row r="312" spans="1:15" x14ac:dyDescent="0.3">
      <c r="A312">
        <v>201903</v>
      </c>
      <c r="B312" s="3"/>
      <c r="C312" t="s">
        <v>18</v>
      </c>
      <c r="D312" s="15">
        <f>VLOOKUP(الحركات[[#This Row],[من صندوق]],Table5[],5,0)</f>
        <v>225</v>
      </c>
      <c r="E312" t="s">
        <v>1</v>
      </c>
      <c r="F312" s="15">
        <f>VLOOKUP(الحركات[[#This Row],[إلى صندوق]],Table5[[الصندوق]:[الرصيد الفعلي]],5,0)</f>
        <v>0</v>
      </c>
      <c r="G312" s="15">
        <f>IF(VLOOKUP(الحركات[إلى صندوق],Table1[],3,0)=0,VLOOKUP(الحركات[[#This Row],[من صندوق]],Table1[[الصندوق]:[القيمة الشهرية]],3,0),VLOOKUP(الحركات[إلى صندوق],Table1[],3,0))</f>
        <v>190</v>
      </c>
      <c r="H312" s="22">
        <v>190</v>
      </c>
      <c r="I312" s="22"/>
      <c r="J312" t="s">
        <v>57</v>
      </c>
      <c r="L312" s="26" t="b">
        <f ca="1">AND(الحركات[[#This Row],[مدفوع من شهر]]&lt;=VALUE(TEXT($A$2,"YYYYMM")),الحركات[[#This Row],[الحالة]]="")</f>
        <v>0</v>
      </c>
      <c r="M312" s="2" t="str">
        <f>الحركات[من صندوق]&amp;"/"&amp;الحركات[إلى صندوق]</f>
        <v>الراتب/هدايا</v>
      </c>
      <c r="N312" s="2" t="str">
        <f>VLOOKUP(الحركات[من صندوق],Table1[],2,0)</f>
        <v>دخل</v>
      </c>
      <c r="O312" s="2" t="str">
        <f>VLOOKUP(الحركات[إلى صندوق],Table1[[الصندوق]:[نوعه]],2,0)</f>
        <v>صرف</v>
      </c>
    </row>
    <row r="313" spans="1:15" x14ac:dyDescent="0.3">
      <c r="A313">
        <v>201903</v>
      </c>
      <c r="B313" s="3"/>
      <c r="C313" t="s">
        <v>18</v>
      </c>
      <c r="D313" s="15">
        <f>VLOOKUP(الحركات[[#This Row],[من صندوق]],Table5[],5,0)</f>
        <v>225</v>
      </c>
      <c r="E313" t="s">
        <v>4</v>
      </c>
      <c r="F313" s="15">
        <f>VLOOKUP(الحركات[[#This Row],[إلى صندوق]],Table5[[الصندوق]:[الرصيد الفعلي]],5,0)</f>
        <v>200</v>
      </c>
      <c r="G313" s="15">
        <f>IF(VLOOKUP(الحركات[إلى صندوق],Table1[],3,0)=0,VLOOKUP(الحركات[[#This Row],[من صندوق]],Table1[[الصندوق]:[القيمة الشهرية]],3,0),VLOOKUP(الحركات[إلى صندوق],Table1[],3,0))</f>
        <v>200</v>
      </c>
      <c r="H313" s="22">
        <v>200</v>
      </c>
      <c r="I313" s="22"/>
      <c r="J313" t="s">
        <v>58</v>
      </c>
      <c r="L313" s="26" t="b">
        <f ca="1">AND(الحركات[[#This Row],[مدفوع من شهر]]&lt;=VALUE(TEXT($A$2,"YYYYMM")),الحركات[[#This Row],[الحالة]]="")</f>
        <v>0</v>
      </c>
      <c r="M313" s="2" t="str">
        <f>الحركات[من صندوق]&amp;"/"&amp;الحركات[إلى صندوق]</f>
        <v>الراتب/طوارئ</v>
      </c>
      <c r="N313" s="2" t="str">
        <f>VLOOKUP(الحركات[من صندوق],Table1[],2,0)</f>
        <v>دخل</v>
      </c>
      <c r="O313" s="2" t="str">
        <f>VLOOKUP(الحركات[إلى صندوق],Table1[[الصندوق]:[نوعه]],2,0)</f>
        <v>صرف</v>
      </c>
    </row>
    <row r="314" spans="1:15" x14ac:dyDescent="0.3">
      <c r="A314">
        <v>201903</v>
      </c>
      <c r="B314" s="3"/>
      <c r="C314" t="s">
        <v>11</v>
      </c>
      <c r="D314" s="15">
        <f>VLOOKUP(الحركات[[#This Row],[من صندوق]],Table5[],5,0)</f>
        <v>0</v>
      </c>
      <c r="E314" t="s">
        <v>14</v>
      </c>
      <c r="F314" s="15">
        <f>VLOOKUP(الحركات[[#This Row],[إلى صندوق]],Table5[[الصندوق]:[الرصيد الفعلي]],5,0)</f>
        <v>5025</v>
      </c>
      <c r="G314" s="15">
        <f>IF(VLOOKUP(الحركات[إلى صندوق],Table1[],3,0)=0,VLOOKUP(الحركات[[#This Row],[من صندوق]],Table1[[الصندوق]:[القيمة الشهرية]],3,0),VLOOKUP(الحركات[إلى صندوق],Table1[],3,0))</f>
        <v>250</v>
      </c>
      <c r="H314" s="22">
        <v>250</v>
      </c>
      <c r="I314" s="22"/>
      <c r="J314" t="s">
        <v>59</v>
      </c>
      <c r="L314" s="26" t="b">
        <f ca="1">AND(الحركات[[#This Row],[مدفوع من شهر]]&lt;=VALUE(TEXT($A$2,"YYYYMM")),الحركات[[#This Row],[الحالة]]="")</f>
        <v>0</v>
      </c>
      <c r="M314" s="2" t="str">
        <f>الحركات[من صندوق]&amp;"/"&amp;الحركات[إلى صندوق]</f>
        <v>فواتير/صرف</v>
      </c>
      <c r="N314" s="2" t="str">
        <f>VLOOKUP(الحركات[من صندوق],Table1[],2,0)</f>
        <v>صرف</v>
      </c>
      <c r="O314" s="2" t="str">
        <f>VLOOKUP(الحركات[إلى صندوق],Table1[[الصندوق]:[نوعه]],2,0)</f>
        <v>خارجي</v>
      </c>
    </row>
    <row r="315" spans="1:15" x14ac:dyDescent="0.3">
      <c r="A315">
        <v>201903</v>
      </c>
      <c r="B315" s="3"/>
      <c r="C315" t="s">
        <v>13</v>
      </c>
      <c r="D315" s="15">
        <f>VLOOKUP(الحركات[[#This Row],[من صندوق]],Table5[],5,0)</f>
        <v>0</v>
      </c>
      <c r="E315" t="s">
        <v>14</v>
      </c>
      <c r="F315" s="15">
        <f>VLOOKUP(الحركات[[#This Row],[إلى صندوق]],Table5[[الصندوق]:[الرصيد الفعلي]],5,0)</f>
        <v>5025</v>
      </c>
      <c r="G315" s="15">
        <f>IF(VLOOKUP(الحركات[إلى صندوق],Table1[],3,0)=0,VLOOKUP(الحركات[[#This Row],[من صندوق]],Table1[[الصندوق]:[القيمة الشهرية]],3,0),VLOOKUP(الحركات[إلى صندوق],Table1[],3,0))</f>
        <v>3800</v>
      </c>
      <c r="H315" s="22">
        <v>3800</v>
      </c>
      <c r="I315" s="22"/>
      <c r="J315" t="s">
        <v>60</v>
      </c>
      <c r="L315" s="26" t="b">
        <f ca="1">AND(الحركات[[#This Row],[مدفوع من شهر]]&lt;=VALUE(TEXT($A$2,"YYYYMM")),الحركات[[#This Row],[الحالة]]="")</f>
        <v>0</v>
      </c>
      <c r="M315" s="2" t="str">
        <f>الحركات[من صندوق]&amp;"/"&amp;الحركات[إلى صندوق]</f>
        <v>مصاريف شهرية/صرف</v>
      </c>
      <c r="N315" s="2" t="str">
        <f>VLOOKUP(الحركات[من صندوق],Table1[],2,0)</f>
        <v>صرف</v>
      </c>
      <c r="O315" s="2" t="str">
        <f>VLOOKUP(الحركات[إلى صندوق],Table1[[الصندوق]:[نوعه]],2,0)</f>
        <v>خارجي</v>
      </c>
    </row>
    <row r="316" spans="1:15" x14ac:dyDescent="0.3">
      <c r="A316">
        <v>201903</v>
      </c>
      <c r="B316" s="3"/>
      <c r="C316" t="s">
        <v>0</v>
      </c>
      <c r="D316" s="15">
        <f>VLOOKUP(الحركات[[#This Row],[من صندوق]],Table5[],5,0)</f>
        <v>0</v>
      </c>
      <c r="E316" t="s">
        <v>14</v>
      </c>
      <c r="F316" s="15">
        <f>VLOOKUP(الحركات[[#This Row],[إلى صندوق]],Table5[[الصندوق]:[الرصيد الفعلي]],5,0)</f>
        <v>5025</v>
      </c>
      <c r="G316" s="15">
        <f>IF(VLOOKUP(الحركات[إلى صندوق],Table1[],3,0)=0,VLOOKUP(الحركات[[#This Row],[من صندوق]],Table1[[الصندوق]:[القيمة الشهرية]],3,0),VLOOKUP(الحركات[إلى صندوق],Table1[],3,0))</f>
        <v>500</v>
      </c>
      <c r="H316" s="22">
        <v>500</v>
      </c>
      <c r="I316" s="22"/>
      <c r="J316" t="s">
        <v>66</v>
      </c>
      <c r="L316" s="26" t="b">
        <f ca="1">AND(الحركات[[#This Row],[مدفوع من شهر]]&lt;=VALUE(TEXT($A$2,"YYYYMM")),الحركات[[#This Row],[الحالة]]="")</f>
        <v>0</v>
      </c>
      <c r="M316" s="2" t="str">
        <f>الحركات[من صندوق]&amp;"/"&amp;الحركات[إلى صندوق]</f>
        <v>توفير/صرف</v>
      </c>
      <c r="N316" s="2" t="str">
        <f>VLOOKUP(الحركات[من صندوق],Table1[],2,0)</f>
        <v>صرف</v>
      </c>
      <c r="O316" s="2" t="str">
        <f>VLOOKUP(الحركات[إلى صندوق],Table1[[الصندوق]:[نوعه]],2,0)</f>
        <v>خارجي</v>
      </c>
    </row>
    <row r="317" spans="1:15" x14ac:dyDescent="0.3">
      <c r="A317">
        <v>201903</v>
      </c>
      <c r="B317" s="3"/>
      <c r="C317" t="s">
        <v>15</v>
      </c>
      <c r="D317" s="15">
        <f>VLOOKUP(الحركات[[#This Row],[من صندوق]],Table5[],5,0)</f>
        <v>0</v>
      </c>
      <c r="E317" t="s">
        <v>14</v>
      </c>
      <c r="F317" s="15">
        <f>VLOOKUP(الحركات[[#This Row],[إلى صندوق]],Table5[[الصندوق]:[الرصيد الفعلي]],5,0)</f>
        <v>5025</v>
      </c>
      <c r="G317" s="15">
        <f>IF(VLOOKUP(الحركات[إلى صندوق],Table1[],3,0)=0,VLOOKUP(الحركات[[#This Row],[من صندوق]],Table1[[الصندوق]:[القيمة الشهرية]],3,0),VLOOKUP(الحركات[إلى صندوق],Table1[],3,0))</f>
        <v>285</v>
      </c>
      <c r="H317" s="22">
        <v>285</v>
      </c>
      <c r="I317" s="22"/>
      <c r="J317" t="s">
        <v>71</v>
      </c>
      <c r="L317" s="26" t="b">
        <f ca="1">AND(الحركات[[#This Row],[مدفوع من شهر]]&lt;=VALUE(TEXT($A$2,"YYYYMM")),الحركات[[#This Row],[الحالة]]="")</f>
        <v>0</v>
      </c>
      <c r="M317" s="2" t="str">
        <f>الحركات[من صندوق]&amp;"/"&amp;الحركات[إلى صندوق]</f>
        <v>ملابس/صرف</v>
      </c>
      <c r="N317" s="2" t="str">
        <f>VLOOKUP(الحركات[من صندوق],Table1[],2,0)</f>
        <v>صرف</v>
      </c>
      <c r="O317" s="2" t="str">
        <f>VLOOKUP(الحركات[إلى صندوق],Table1[[الصندوق]:[نوعه]],2,0)</f>
        <v>خارجي</v>
      </c>
    </row>
    <row r="318" spans="1:15" x14ac:dyDescent="0.3">
      <c r="A318">
        <v>201903</v>
      </c>
      <c r="B318" s="3"/>
      <c r="C318" t="s">
        <v>1</v>
      </c>
      <c r="D318" s="15">
        <f>VLOOKUP(الحركات[[#This Row],[من صندوق]],Table5[],5,0)</f>
        <v>0</v>
      </c>
      <c r="E318" t="s">
        <v>14</v>
      </c>
      <c r="F318" s="15">
        <f>VLOOKUP(الحركات[[#This Row],[إلى صندوق]],Table5[[الصندوق]:[الرصيد الفعلي]],5,0)</f>
        <v>5025</v>
      </c>
      <c r="G318" s="15">
        <f>IF(VLOOKUP(الحركات[إلى صندوق],Table1[],3,0)=0,VLOOKUP(الحركات[[#This Row],[من صندوق]],Table1[[الصندوق]:[القيمة الشهرية]],3,0),VLOOKUP(الحركات[إلى صندوق],Table1[],3,0))</f>
        <v>190</v>
      </c>
      <c r="H318" s="22">
        <v>190</v>
      </c>
      <c r="I318" s="22"/>
      <c r="J318" t="s">
        <v>72</v>
      </c>
      <c r="L318" s="26" t="b">
        <f ca="1">AND(الحركات[[#This Row],[مدفوع من شهر]]&lt;=VALUE(TEXT($A$2,"YYYYMM")),الحركات[[#This Row],[الحالة]]="")</f>
        <v>0</v>
      </c>
      <c r="M318" s="2" t="str">
        <f>الحركات[من صندوق]&amp;"/"&amp;الحركات[إلى صندوق]</f>
        <v>هدايا/صرف</v>
      </c>
      <c r="N318" s="2" t="str">
        <f>VLOOKUP(الحركات[من صندوق],Table1[],2,0)</f>
        <v>صرف</v>
      </c>
      <c r="O318" s="2" t="str">
        <f>VLOOKUP(الحركات[إلى صندوق],Table1[[الصندوق]:[نوعه]],2,0)</f>
        <v>خارجي</v>
      </c>
    </row>
    <row r="319" spans="1:15" x14ac:dyDescent="0.3">
      <c r="A319">
        <v>201904</v>
      </c>
      <c r="B319" s="3"/>
      <c r="C319" t="s">
        <v>20</v>
      </c>
      <c r="D319" s="15">
        <f>VLOOKUP(الحركات[[#This Row],[من صندوق]],Table5[],5,0)</f>
        <v>-10000</v>
      </c>
      <c r="E319" t="s">
        <v>18</v>
      </c>
      <c r="F319" s="15">
        <f>VLOOKUP(الحركات[[#This Row],[إلى صندوق]],Table5[[الصندوق]:[الرصيد الفعلي]],5,0)</f>
        <v>225</v>
      </c>
      <c r="G319" s="15">
        <f>IF(VLOOKUP(الحركات[إلى صندوق],Table1[],3,0)=0,VLOOKUP(الحركات[[#This Row],[من صندوق]],Table1[[الصندوق]:[القيمة الشهرية]],3,0),VLOOKUP(الحركات[إلى صندوق],Table1[],3,0))</f>
        <v>10000</v>
      </c>
      <c r="H319" s="22">
        <v>10000</v>
      </c>
      <c r="I319" s="22"/>
      <c r="J319" t="s">
        <v>40</v>
      </c>
      <c r="L319" s="26" t="b">
        <f ca="1">AND(الحركات[[#This Row],[مدفوع من شهر]]&lt;=VALUE(TEXT($A$2,"YYYYMM")),الحركات[[#This Row],[الحالة]]="")</f>
        <v>0</v>
      </c>
      <c r="M319" s="2" t="str">
        <f>الحركات[من صندوق]&amp;"/"&amp;الحركات[إلى صندوق]</f>
        <v>الشركة/الراتب</v>
      </c>
      <c r="N319" s="2" t="str">
        <f>VLOOKUP(الحركات[من صندوق],Table1[],2,0)</f>
        <v>خارجي</v>
      </c>
      <c r="O319" s="2" t="str">
        <f>VLOOKUP(الحركات[إلى صندوق],Table1[[الصندوق]:[نوعه]],2,0)</f>
        <v>دخل</v>
      </c>
    </row>
    <row r="320" spans="1:15" x14ac:dyDescent="0.3">
      <c r="A320">
        <v>201904</v>
      </c>
      <c r="B320" s="3"/>
      <c r="C320" t="s">
        <v>18</v>
      </c>
      <c r="D320" s="15">
        <f>VLOOKUP(الحركات[[#This Row],[من صندوق]],Table5[],5,0)</f>
        <v>225</v>
      </c>
      <c r="E320" t="s">
        <v>11</v>
      </c>
      <c r="F320" s="15">
        <f>VLOOKUP(الحركات[[#This Row],[إلى صندوق]],Table5[[الصندوق]:[الرصيد الفعلي]],5,0)</f>
        <v>0</v>
      </c>
      <c r="G320" s="15">
        <f>IF(VLOOKUP(الحركات[إلى صندوق],Table1[],3,0)=0,VLOOKUP(الحركات[[#This Row],[من صندوق]],Table1[[الصندوق]:[القيمة الشهرية]],3,0),VLOOKUP(الحركات[إلى صندوق],Table1[],3,0))</f>
        <v>250</v>
      </c>
      <c r="H320" s="22">
        <v>250</v>
      </c>
      <c r="I320" s="22"/>
      <c r="J320" t="s">
        <v>47</v>
      </c>
      <c r="L320" s="26" t="b">
        <f ca="1">AND(الحركات[[#This Row],[مدفوع من شهر]]&lt;=VALUE(TEXT($A$2,"YYYYMM")),الحركات[[#This Row],[الحالة]]="")</f>
        <v>0</v>
      </c>
      <c r="M320" s="2" t="str">
        <f>الحركات[من صندوق]&amp;"/"&amp;الحركات[إلى صندوق]</f>
        <v>الراتب/فواتير</v>
      </c>
      <c r="N320" s="2" t="str">
        <f>VLOOKUP(الحركات[من صندوق],Table1[],2,0)</f>
        <v>دخل</v>
      </c>
      <c r="O320" s="2" t="str">
        <f>VLOOKUP(الحركات[إلى صندوق],Table1[[الصندوق]:[نوعه]],2,0)</f>
        <v>صرف</v>
      </c>
    </row>
    <row r="321" spans="1:15" x14ac:dyDescent="0.3">
      <c r="A321">
        <v>201904</v>
      </c>
      <c r="B321" s="3"/>
      <c r="C321" t="s">
        <v>18</v>
      </c>
      <c r="D321" s="15">
        <f>VLOOKUP(الحركات[[#This Row],[من صندوق]],Table5[],5,0)</f>
        <v>225</v>
      </c>
      <c r="E321" t="s">
        <v>13</v>
      </c>
      <c r="F321" s="15">
        <f>VLOOKUP(الحركات[[#This Row],[إلى صندوق]],Table5[[الصندوق]:[الرصيد الفعلي]],5,0)</f>
        <v>0</v>
      </c>
      <c r="G321" s="15">
        <f>IF(VLOOKUP(الحركات[إلى صندوق],Table1[],3,0)=0,VLOOKUP(الحركات[[#This Row],[من صندوق]],Table1[[الصندوق]:[القيمة الشهرية]],3,0),VLOOKUP(الحركات[إلى صندوق],Table1[],3,0))</f>
        <v>3800</v>
      </c>
      <c r="H321" s="22">
        <v>3800</v>
      </c>
      <c r="I321" s="22"/>
      <c r="J321" t="s">
        <v>48</v>
      </c>
      <c r="L321" s="26" t="b">
        <f ca="1">AND(الحركات[[#This Row],[مدفوع من شهر]]&lt;=VALUE(TEXT($A$2,"YYYYMM")),الحركات[[#This Row],[الحالة]]="")</f>
        <v>0</v>
      </c>
      <c r="M321" s="2" t="str">
        <f>الحركات[من صندوق]&amp;"/"&amp;الحركات[إلى صندوق]</f>
        <v>الراتب/مصاريف شهرية</v>
      </c>
      <c r="N321" s="2" t="str">
        <f>VLOOKUP(الحركات[من صندوق],Table1[],2,0)</f>
        <v>دخل</v>
      </c>
      <c r="O321" s="2" t="str">
        <f>VLOOKUP(الحركات[إلى صندوق],Table1[[الصندوق]:[نوعه]],2,0)</f>
        <v>صرف</v>
      </c>
    </row>
    <row r="322" spans="1:15" x14ac:dyDescent="0.3">
      <c r="A322">
        <v>201904</v>
      </c>
      <c r="B322" s="3"/>
      <c r="C322" t="s">
        <v>18</v>
      </c>
      <c r="D322" s="15">
        <f>VLOOKUP(الحركات[[#This Row],[من صندوق]],Table5[],5,0)</f>
        <v>225</v>
      </c>
      <c r="E322" t="s">
        <v>3</v>
      </c>
      <c r="F322" s="15">
        <f>VLOOKUP(الحركات[[#This Row],[إلى صندوق]],Table5[[الصندوق]:[الرصيد الفعلي]],5,0)</f>
        <v>2000</v>
      </c>
      <c r="G322" s="15">
        <f>IF(VLOOKUP(الحركات[إلى صندوق],Table1[],3,0)=0,VLOOKUP(الحركات[[#This Row],[من صندوق]],Table1[[الصندوق]:[القيمة الشهرية]],3,0),VLOOKUP(الحركات[إلى صندوق],Table1[],3,0))</f>
        <v>2000</v>
      </c>
      <c r="H322" s="22">
        <v>2000</v>
      </c>
      <c r="I322" s="22"/>
      <c r="J322" t="s">
        <v>49</v>
      </c>
      <c r="L322" s="26" t="b">
        <f ca="1">AND(الحركات[[#This Row],[مدفوع من شهر]]&lt;=VALUE(TEXT($A$2,"YYYYMM")),الحركات[[#This Row],[الحالة]]="")</f>
        <v>0</v>
      </c>
      <c r="M322" s="2" t="str">
        <f>الحركات[من صندوق]&amp;"/"&amp;الحركات[إلى صندوق]</f>
        <v>الراتب/مدارس</v>
      </c>
      <c r="N322" s="2" t="str">
        <f>VLOOKUP(الحركات[من صندوق],Table1[],2,0)</f>
        <v>دخل</v>
      </c>
      <c r="O322" s="2" t="str">
        <f>VLOOKUP(الحركات[إلى صندوق],Table1[[الصندوق]:[نوعه]],2,0)</f>
        <v>صرف</v>
      </c>
    </row>
    <row r="323" spans="1:15" x14ac:dyDescent="0.3">
      <c r="A323">
        <v>201904</v>
      </c>
      <c r="B323" s="3"/>
      <c r="C323" t="s">
        <v>18</v>
      </c>
      <c r="D323" s="15">
        <f>VLOOKUP(الحركات[[#This Row],[من صندوق]],Table5[],5,0)</f>
        <v>225</v>
      </c>
      <c r="E323" t="s">
        <v>21</v>
      </c>
      <c r="F323" s="15">
        <f>VLOOKUP(الحركات[[#This Row],[إلى صندوق]],Table5[[الصندوق]:[الرصيد الفعلي]],5,0)</f>
        <v>1500</v>
      </c>
      <c r="G323" s="15">
        <f>IF(VLOOKUP(الحركات[إلى صندوق],Table1[],3,0)=0,VLOOKUP(الحركات[[#This Row],[من صندوق]],Table1[[الصندوق]:[القيمة الشهرية]],3,0),VLOOKUP(الحركات[إلى صندوق],Table1[],3,0))</f>
        <v>1500</v>
      </c>
      <c r="H323" s="22">
        <v>1500</v>
      </c>
      <c r="I323" s="22"/>
      <c r="J323" t="s">
        <v>50</v>
      </c>
      <c r="L323" s="26" t="b">
        <f ca="1">AND(الحركات[[#This Row],[مدفوع من شهر]]&lt;=VALUE(TEXT($A$2,"YYYYMM")),الحركات[[#This Row],[الحالة]]="")</f>
        <v>0</v>
      </c>
      <c r="M323" s="2" t="str">
        <f>الحركات[من صندوق]&amp;"/"&amp;الحركات[إلى صندوق]</f>
        <v>الراتب/ايجار المنزل</v>
      </c>
      <c r="N323" s="2" t="str">
        <f>VLOOKUP(الحركات[من صندوق],Table1[],2,0)</f>
        <v>دخل</v>
      </c>
      <c r="O323" s="2" t="str">
        <f>VLOOKUP(الحركات[إلى صندوق],Table1[[الصندوق]:[نوعه]],2,0)</f>
        <v>صرف</v>
      </c>
    </row>
    <row r="324" spans="1:15" x14ac:dyDescent="0.3">
      <c r="A324">
        <v>201904</v>
      </c>
      <c r="B324" s="3"/>
      <c r="C324" t="s">
        <v>18</v>
      </c>
      <c r="D324" s="15">
        <f>VLOOKUP(الحركات[[#This Row],[من صندوق]],Table5[],5,0)</f>
        <v>225</v>
      </c>
      <c r="E324" t="s">
        <v>0</v>
      </c>
      <c r="F324" s="15">
        <f>VLOOKUP(الحركات[[#This Row],[إلى صندوق]],Table5[[الصندوق]:[الرصيد الفعلي]],5,0)</f>
        <v>0</v>
      </c>
      <c r="G324" s="15">
        <f>IF(VLOOKUP(الحركات[إلى صندوق],Table1[],3,0)=0,VLOOKUP(الحركات[[#This Row],[من صندوق]],Table1[[الصندوق]:[القيمة الشهرية]],3,0),VLOOKUP(الحركات[إلى صندوق],Table1[],3,0))</f>
        <v>500</v>
      </c>
      <c r="H324" s="22">
        <v>500</v>
      </c>
      <c r="I324" s="22"/>
      <c r="J324" t="s">
        <v>51</v>
      </c>
      <c r="L324" s="26" t="b">
        <f ca="1">AND(الحركات[[#This Row],[مدفوع من شهر]]&lt;=VALUE(TEXT($A$2,"YYYYMM")),الحركات[[#This Row],[الحالة]]="")</f>
        <v>0</v>
      </c>
      <c r="M324" s="2" t="str">
        <f>الحركات[من صندوق]&amp;"/"&amp;الحركات[إلى صندوق]</f>
        <v>الراتب/توفير</v>
      </c>
      <c r="N324" s="2" t="str">
        <f>VLOOKUP(الحركات[من صندوق],Table1[],2,0)</f>
        <v>دخل</v>
      </c>
      <c r="O324" s="2" t="str">
        <f>VLOOKUP(الحركات[إلى صندوق],Table1[[الصندوق]:[نوعه]],2,0)</f>
        <v>صرف</v>
      </c>
    </row>
    <row r="325" spans="1:15" x14ac:dyDescent="0.3">
      <c r="A325">
        <v>201904</v>
      </c>
      <c r="B325" s="3"/>
      <c r="C325" t="s">
        <v>18</v>
      </c>
      <c r="D325" s="15">
        <f>VLOOKUP(الحركات[[#This Row],[من صندوق]],Table5[],5,0)</f>
        <v>225</v>
      </c>
      <c r="E325" t="s">
        <v>12</v>
      </c>
      <c r="F325" s="15">
        <f>VLOOKUP(الحركات[[#This Row],[إلى صندوق]],Table5[[الصندوق]:[الرصيد الفعلي]],5,0)</f>
        <v>400</v>
      </c>
      <c r="G325" s="15">
        <f>IF(VLOOKUP(الحركات[إلى صندوق],Table1[],3,0)=0,VLOOKUP(الحركات[[#This Row],[من صندوق]],Table1[[الصندوق]:[القيمة الشهرية]],3,0),VLOOKUP(الحركات[إلى صندوق],Table1[],3,0))</f>
        <v>400</v>
      </c>
      <c r="H325" s="22">
        <v>400</v>
      </c>
      <c r="I325" s="22"/>
      <c r="J325" t="s">
        <v>52</v>
      </c>
      <c r="L325" s="26" t="b">
        <f ca="1">AND(الحركات[[#This Row],[مدفوع من شهر]]&lt;=VALUE(TEXT($A$2,"YYYYMM")),الحركات[[#This Row],[الحالة]]="")</f>
        <v>0</v>
      </c>
      <c r="M325" s="2" t="str">
        <f>الحركات[من صندوق]&amp;"/"&amp;الحركات[إلى صندوق]</f>
        <v>الراتب/اجازات</v>
      </c>
      <c r="N325" s="2" t="str">
        <f>VLOOKUP(الحركات[من صندوق],Table1[],2,0)</f>
        <v>دخل</v>
      </c>
      <c r="O325" s="2" t="str">
        <f>VLOOKUP(الحركات[إلى صندوق],Table1[[الصندوق]:[نوعه]],2,0)</f>
        <v>صرف</v>
      </c>
    </row>
    <row r="326" spans="1:15" x14ac:dyDescent="0.3">
      <c r="A326">
        <v>201904</v>
      </c>
      <c r="B326" s="3"/>
      <c r="C326" t="s">
        <v>18</v>
      </c>
      <c r="D326" s="15">
        <f>VLOOKUP(الحركات[[#This Row],[من صندوق]],Table5[],5,0)</f>
        <v>225</v>
      </c>
      <c r="E326" t="s">
        <v>9</v>
      </c>
      <c r="F326" s="15">
        <f>VLOOKUP(الحركات[[#This Row],[إلى صندوق]],Table5[[الصندوق]:[الرصيد الفعلي]],5,0)</f>
        <v>200</v>
      </c>
      <c r="G326" s="15">
        <f>IF(VLOOKUP(الحركات[إلى صندوق],Table1[],3,0)=0,VLOOKUP(الحركات[[#This Row],[من صندوق]],Table1[[الصندوق]:[القيمة الشهرية]],3,0),VLOOKUP(الحركات[إلى صندوق],Table1[],3,0))</f>
        <v>200</v>
      </c>
      <c r="H326" s="22">
        <v>200</v>
      </c>
      <c r="I326" s="22"/>
      <c r="J326" t="s">
        <v>53</v>
      </c>
      <c r="L326" s="26" t="b">
        <f ca="1">AND(الحركات[[#This Row],[مدفوع من شهر]]&lt;=VALUE(TEXT($A$2,"YYYYMM")),الحركات[[#This Row],[الحالة]]="")</f>
        <v>0</v>
      </c>
      <c r="M326" s="2" t="str">
        <f>الحركات[من صندوق]&amp;"/"&amp;الحركات[إلى صندوق]</f>
        <v>الراتب/دورات</v>
      </c>
      <c r="N326" s="2" t="str">
        <f>VLOOKUP(الحركات[من صندوق],Table1[],2,0)</f>
        <v>دخل</v>
      </c>
      <c r="O326" s="2" t="str">
        <f>VLOOKUP(الحركات[إلى صندوق],Table1[[الصندوق]:[نوعه]],2,0)</f>
        <v>صرف</v>
      </c>
    </row>
    <row r="327" spans="1:15" x14ac:dyDescent="0.3">
      <c r="A327">
        <v>201904</v>
      </c>
      <c r="B327" s="3"/>
      <c r="C327" t="s">
        <v>18</v>
      </c>
      <c r="D327" s="15">
        <f>VLOOKUP(الحركات[[#This Row],[من صندوق]],Table5[],5,0)</f>
        <v>225</v>
      </c>
      <c r="E327" t="s">
        <v>22</v>
      </c>
      <c r="F327" s="15">
        <f>VLOOKUP(الحركات[[#This Row],[إلى صندوق]],Table5[[الصندوق]:[الرصيد الفعلي]],5,0)</f>
        <v>200</v>
      </c>
      <c r="G327" s="15">
        <f>IF(VLOOKUP(الحركات[إلى صندوق],Table1[],3,0)=0,VLOOKUP(الحركات[[#This Row],[من صندوق]],Table1[[الصندوق]:[القيمة الشهرية]],3,0),VLOOKUP(الحركات[إلى صندوق],Table1[],3,0))</f>
        <v>200</v>
      </c>
      <c r="H327" s="22">
        <v>200</v>
      </c>
      <c r="I327" s="22"/>
      <c r="J327" t="s">
        <v>54</v>
      </c>
      <c r="L327" s="26" t="b">
        <f ca="1">AND(الحركات[[#This Row],[مدفوع من شهر]]&lt;=VALUE(TEXT($A$2,"YYYYMM")),الحركات[[#This Row],[الحالة]]="")</f>
        <v>0</v>
      </c>
      <c r="M327" s="2" t="str">
        <f>الحركات[من صندوق]&amp;"/"&amp;الحركات[إلى صندوق]</f>
        <v>الراتب/زكاة</v>
      </c>
      <c r="N327" s="2" t="str">
        <f>VLOOKUP(الحركات[من صندوق],Table1[],2,0)</f>
        <v>دخل</v>
      </c>
      <c r="O327" s="2" t="str">
        <f>VLOOKUP(الحركات[إلى صندوق],Table1[[الصندوق]:[نوعه]],2,0)</f>
        <v>صرف</v>
      </c>
    </row>
    <row r="328" spans="1:15" x14ac:dyDescent="0.3">
      <c r="A328">
        <v>201904</v>
      </c>
      <c r="B328" s="3"/>
      <c r="C328" t="s">
        <v>18</v>
      </c>
      <c r="D328" s="15">
        <f>VLOOKUP(الحركات[[#This Row],[من صندوق]],Table5[],5,0)</f>
        <v>225</v>
      </c>
      <c r="E328" t="s">
        <v>10</v>
      </c>
      <c r="F328" s="15">
        <f>VLOOKUP(الحركات[[#This Row],[إلى صندوق]],Table5[[الصندوق]:[الرصيد الفعلي]],5,0)</f>
        <v>250</v>
      </c>
      <c r="G328" s="15">
        <f>IF(VLOOKUP(الحركات[إلى صندوق],Table1[],3,0)=0,VLOOKUP(الحركات[[#This Row],[من صندوق]],Table1[[الصندوق]:[القيمة الشهرية]],3,0),VLOOKUP(الحركات[إلى صندوق],Table1[],3,0))</f>
        <v>250</v>
      </c>
      <c r="H328" s="22">
        <v>250</v>
      </c>
      <c r="I328" s="22"/>
      <c r="J328" t="s">
        <v>55</v>
      </c>
      <c r="L328" s="26" t="b">
        <f ca="1">AND(الحركات[[#This Row],[مدفوع من شهر]]&lt;=VALUE(TEXT($A$2,"YYYYMM")),الحركات[[#This Row],[الحالة]]="")</f>
        <v>0</v>
      </c>
      <c r="M328" s="2" t="str">
        <f>الحركات[من صندوق]&amp;"/"&amp;الحركات[إلى صندوق]</f>
        <v>الراتب/صيانة السيارة</v>
      </c>
      <c r="N328" s="2" t="str">
        <f>VLOOKUP(الحركات[من صندوق],Table1[],2,0)</f>
        <v>دخل</v>
      </c>
      <c r="O328" s="2" t="str">
        <f>VLOOKUP(الحركات[إلى صندوق],Table1[[الصندوق]:[نوعه]],2,0)</f>
        <v>صرف</v>
      </c>
    </row>
    <row r="329" spans="1:15" x14ac:dyDescent="0.3">
      <c r="A329">
        <v>201904</v>
      </c>
      <c r="B329" s="3"/>
      <c r="C329" t="s">
        <v>18</v>
      </c>
      <c r="D329" s="15">
        <f>VLOOKUP(الحركات[[#This Row],[من صندوق]],Table5[],5,0)</f>
        <v>225</v>
      </c>
      <c r="E329" t="s">
        <v>15</v>
      </c>
      <c r="F329" s="15">
        <f>VLOOKUP(الحركات[[#This Row],[إلى صندوق]],Table5[[الصندوق]:[الرصيد الفعلي]],5,0)</f>
        <v>0</v>
      </c>
      <c r="G329" s="15">
        <f>IF(VLOOKUP(الحركات[إلى صندوق],Table1[],3,0)=0,VLOOKUP(الحركات[[#This Row],[من صندوق]],Table1[[الصندوق]:[القيمة الشهرية]],3,0),VLOOKUP(الحركات[إلى صندوق],Table1[],3,0))</f>
        <v>285</v>
      </c>
      <c r="H329" s="22">
        <v>285</v>
      </c>
      <c r="I329" s="22"/>
      <c r="J329" t="s">
        <v>56</v>
      </c>
      <c r="L329" s="26" t="b">
        <f ca="1">AND(الحركات[[#This Row],[مدفوع من شهر]]&lt;=VALUE(TEXT($A$2,"YYYYMM")),الحركات[[#This Row],[الحالة]]="")</f>
        <v>0</v>
      </c>
      <c r="M329" s="2" t="str">
        <f>الحركات[من صندوق]&amp;"/"&amp;الحركات[إلى صندوق]</f>
        <v>الراتب/ملابس</v>
      </c>
      <c r="N329" s="2" t="str">
        <f>VLOOKUP(الحركات[من صندوق],Table1[],2,0)</f>
        <v>دخل</v>
      </c>
      <c r="O329" s="2" t="str">
        <f>VLOOKUP(الحركات[إلى صندوق],Table1[[الصندوق]:[نوعه]],2,0)</f>
        <v>صرف</v>
      </c>
    </row>
    <row r="330" spans="1:15" x14ac:dyDescent="0.3">
      <c r="A330">
        <v>201904</v>
      </c>
      <c r="B330" s="3"/>
      <c r="C330" t="s">
        <v>18</v>
      </c>
      <c r="D330" s="15">
        <f>VLOOKUP(الحركات[[#This Row],[من صندوق]],Table5[],5,0)</f>
        <v>225</v>
      </c>
      <c r="E330" t="s">
        <v>1</v>
      </c>
      <c r="F330" s="15">
        <f>VLOOKUP(الحركات[[#This Row],[إلى صندوق]],Table5[[الصندوق]:[الرصيد الفعلي]],5,0)</f>
        <v>0</v>
      </c>
      <c r="G330" s="15">
        <f>IF(VLOOKUP(الحركات[إلى صندوق],Table1[],3,0)=0,VLOOKUP(الحركات[[#This Row],[من صندوق]],Table1[[الصندوق]:[القيمة الشهرية]],3,0),VLOOKUP(الحركات[إلى صندوق],Table1[],3,0))</f>
        <v>190</v>
      </c>
      <c r="H330" s="22">
        <v>190</v>
      </c>
      <c r="I330" s="22"/>
      <c r="J330" t="s">
        <v>57</v>
      </c>
      <c r="L330" s="26" t="b">
        <f ca="1">AND(الحركات[[#This Row],[مدفوع من شهر]]&lt;=VALUE(TEXT($A$2,"YYYYMM")),الحركات[[#This Row],[الحالة]]="")</f>
        <v>0</v>
      </c>
      <c r="M330" s="2" t="str">
        <f>الحركات[من صندوق]&amp;"/"&amp;الحركات[إلى صندوق]</f>
        <v>الراتب/هدايا</v>
      </c>
      <c r="N330" s="2" t="str">
        <f>VLOOKUP(الحركات[من صندوق],Table1[],2,0)</f>
        <v>دخل</v>
      </c>
      <c r="O330" s="2" t="str">
        <f>VLOOKUP(الحركات[إلى صندوق],Table1[[الصندوق]:[نوعه]],2,0)</f>
        <v>صرف</v>
      </c>
    </row>
    <row r="331" spans="1:15" x14ac:dyDescent="0.3">
      <c r="A331">
        <v>201904</v>
      </c>
      <c r="B331" s="3"/>
      <c r="C331" t="s">
        <v>18</v>
      </c>
      <c r="D331" s="15">
        <f>VLOOKUP(الحركات[[#This Row],[من صندوق]],Table5[],5,0)</f>
        <v>225</v>
      </c>
      <c r="E331" t="s">
        <v>4</v>
      </c>
      <c r="F331" s="15">
        <f>VLOOKUP(الحركات[[#This Row],[إلى صندوق]],Table5[[الصندوق]:[الرصيد الفعلي]],5,0)</f>
        <v>200</v>
      </c>
      <c r="G331" s="15">
        <f>IF(VLOOKUP(الحركات[إلى صندوق],Table1[],3,0)=0,VLOOKUP(الحركات[[#This Row],[من صندوق]],Table1[[الصندوق]:[القيمة الشهرية]],3,0),VLOOKUP(الحركات[إلى صندوق],Table1[],3,0))</f>
        <v>200</v>
      </c>
      <c r="H331" s="22">
        <v>200</v>
      </c>
      <c r="I331" s="22"/>
      <c r="J331" t="s">
        <v>58</v>
      </c>
      <c r="L331" s="26" t="b">
        <f ca="1">AND(الحركات[[#This Row],[مدفوع من شهر]]&lt;=VALUE(TEXT($A$2,"YYYYMM")),الحركات[[#This Row],[الحالة]]="")</f>
        <v>0</v>
      </c>
      <c r="M331" s="2" t="str">
        <f>الحركات[من صندوق]&amp;"/"&amp;الحركات[إلى صندوق]</f>
        <v>الراتب/طوارئ</v>
      </c>
      <c r="N331" s="2" t="str">
        <f>VLOOKUP(الحركات[من صندوق],Table1[],2,0)</f>
        <v>دخل</v>
      </c>
      <c r="O331" s="2" t="str">
        <f>VLOOKUP(الحركات[إلى صندوق],Table1[[الصندوق]:[نوعه]],2,0)</f>
        <v>صرف</v>
      </c>
    </row>
    <row r="332" spans="1:15" x14ac:dyDescent="0.3">
      <c r="A332">
        <v>201904</v>
      </c>
      <c r="B332" s="3"/>
      <c r="C332" t="s">
        <v>11</v>
      </c>
      <c r="D332" s="15">
        <f>VLOOKUP(الحركات[[#This Row],[من صندوق]],Table5[],5,0)</f>
        <v>0</v>
      </c>
      <c r="E332" t="s">
        <v>14</v>
      </c>
      <c r="F332" s="15">
        <f>VLOOKUP(الحركات[[#This Row],[إلى صندوق]],Table5[[الصندوق]:[الرصيد الفعلي]],5,0)</f>
        <v>5025</v>
      </c>
      <c r="G332" s="15">
        <f>IF(VLOOKUP(الحركات[إلى صندوق],Table1[],3,0)=0,VLOOKUP(الحركات[[#This Row],[من صندوق]],Table1[[الصندوق]:[القيمة الشهرية]],3,0),VLOOKUP(الحركات[إلى صندوق],Table1[],3,0))</f>
        <v>250</v>
      </c>
      <c r="H332" s="22">
        <v>250</v>
      </c>
      <c r="I332" s="22"/>
      <c r="J332" t="s">
        <v>59</v>
      </c>
      <c r="L332" s="26" t="b">
        <f ca="1">AND(الحركات[[#This Row],[مدفوع من شهر]]&lt;=VALUE(TEXT($A$2,"YYYYMM")),الحركات[[#This Row],[الحالة]]="")</f>
        <v>0</v>
      </c>
      <c r="M332" s="2" t="str">
        <f>الحركات[من صندوق]&amp;"/"&amp;الحركات[إلى صندوق]</f>
        <v>فواتير/صرف</v>
      </c>
      <c r="N332" s="2" t="str">
        <f>VLOOKUP(الحركات[من صندوق],Table1[],2,0)</f>
        <v>صرف</v>
      </c>
      <c r="O332" s="2" t="str">
        <f>VLOOKUP(الحركات[إلى صندوق],Table1[[الصندوق]:[نوعه]],2,0)</f>
        <v>خارجي</v>
      </c>
    </row>
    <row r="333" spans="1:15" x14ac:dyDescent="0.3">
      <c r="A333">
        <v>201904</v>
      </c>
      <c r="B333" s="3"/>
      <c r="C333" t="s">
        <v>13</v>
      </c>
      <c r="D333" s="15">
        <f>VLOOKUP(الحركات[[#This Row],[من صندوق]],Table5[],5,0)</f>
        <v>0</v>
      </c>
      <c r="E333" t="s">
        <v>14</v>
      </c>
      <c r="F333" s="15">
        <f>VLOOKUP(الحركات[[#This Row],[إلى صندوق]],Table5[[الصندوق]:[الرصيد الفعلي]],5,0)</f>
        <v>5025</v>
      </c>
      <c r="G333" s="15">
        <f>IF(VLOOKUP(الحركات[إلى صندوق],Table1[],3,0)=0,VLOOKUP(الحركات[[#This Row],[من صندوق]],Table1[[الصندوق]:[القيمة الشهرية]],3,0),VLOOKUP(الحركات[إلى صندوق],Table1[],3,0))</f>
        <v>3800</v>
      </c>
      <c r="H333" s="22">
        <v>3800</v>
      </c>
      <c r="I333" s="22"/>
      <c r="J333" t="s">
        <v>60</v>
      </c>
      <c r="L333" s="26" t="b">
        <f ca="1">AND(الحركات[[#This Row],[مدفوع من شهر]]&lt;=VALUE(TEXT($A$2,"YYYYMM")),الحركات[[#This Row],[الحالة]]="")</f>
        <v>0</v>
      </c>
      <c r="M333" s="2" t="str">
        <f>الحركات[من صندوق]&amp;"/"&amp;الحركات[إلى صندوق]</f>
        <v>مصاريف شهرية/صرف</v>
      </c>
      <c r="N333" s="2" t="str">
        <f>VLOOKUP(الحركات[من صندوق],Table1[],2,0)</f>
        <v>صرف</v>
      </c>
      <c r="O333" s="2" t="str">
        <f>VLOOKUP(الحركات[إلى صندوق],Table1[[الصندوق]:[نوعه]],2,0)</f>
        <v>خارجي</v>
      </c>
    </row>
    <row r="334" spans="1:15" x14ac:dyDescent="0.3">
      <c r="A334">
        <v>201904</v>
      </c>
      <c r="B334" s="3"/>
      <c r="C334" t="s">
        <v>21</v>
      </c>
      <c r="D334" s="15">
        <f>VLOOKUP(الحركات[[#This Row],[من صندوق]],Table5[],5,0)</f>
        <v>1500</v>
      </c>
      <c r="E334" t="s">
        <v>14</v>
      </c>
      <c r="F334" s="15">
        <f>VLOOKUP(الحركات[[#This Row],[إلى صندوق]],Table5[[الصندوق]:[الرصيد الفعلي]],5,0)</f>
        <v>5025</v>
      </c>
      <c r="G334" s="15">
        <f>IF(VLOOKUP(الحركات[إلى صندوق],Table1[],3,0)=0,VLOOKUP(الحركات[[#This Row],[من صندوق]],Table1[[الصندوق]:[القيمة الشهرية]],3,0),VLOOKUP(الحركات[إلى صندوق],Table1[],3,0))</f>
        <v>1500</v>
      </c>
      <c r="H334" s="22">
        <v>9000</v>
      </c>
      <c r="I334" s="22"/>
      <c r="J334" t="s">
        <v>64</v>
      </c>
      <c r="L334" s="26" t="b">
        <f ca="1">AND(الحركات[[#This Row],[مدفوع من شهر]]&lt;=VALUE(TEXT($A$2,"YYYYMM")),الحركات[[#This Row],[الحالة]]="")</f>
        <v>0</v>
      </c>
      <c r="M334" s="2" t="str">
        <f>الحركات[من صندوق]&amp;"/"&amp;الحركات[إلى صندوق]</f>
        <v>ايجار المنزل/صرف</v>
      </c>
      <c r="N334" s="2" t="str">
        <f>VLOOKUP(الحركات[من صندوق],Table1[],2,0)</f>
        <v>صرف</v>
      </c>
      <c r="O334" s="2" t="str">
        <f>VLOOKUP(الحركات[إلى صندوق],Table1[[الصندوق]:[نوعه]],2,0)</f>
        <v>خارجي</v>
      </c>
    </row>
    <row r="335" spans="1:15" x14ac:dyDescent="0.3">
      <c r="A335">
        <v>201904</v>
      </c>
      <c r="B335" s="3"/>
      <c r="C335" t="s">
        <v>0</v>
      </c>
      <c r="D335" s="15">
        <f>VLOOKUP(الحركات[[#This Row],[من صندوق]],Table5[],5,0)</f>
        <v>0</v>
      </c>
      <c r="E335" t="s">
        <v>14</v>
      </c>
      <c r="F335" s="15">
        <f>VLOOKUP(الحركات[[#This Row],[إلى صندوق]],Table5[[الصندوق]:[الرصيد الفعلي]],5,0)</f>
        <v>5025</v>
      </c>
      <c r="G335" s="15">
        <f>IF(VLOOKUP(الحركات[إلى صندوق],Table1[],3,0)=0,VLOOKUP(الحركات[[#This Row],[من صندوق]],Table1[[الصندوق]:[القيمة الشهرية]],3,0),VLOOKUP(الحركات[إلى صندوق],Table1[],3,0))</f>
        <v>500</v>
      </c>
      <c r="H335" s="22">
        <v>500</v>
      </c>
      <c r="I335" s="22"/>
      <c r="J335" t="s">
        <v>66</v>
      </c>
      <c r="L335" s="26" t="b">
        <f ca="1">AND(الحركات[[#This Row],[مدفوع من شهر]]&lt;=VALUE(TEXT($A$2,"YYYYMM")),الحركات[[#This Row],[الحالة]]="")</f>
        <v>0</v>
      </c>
      <c r="M335" s="2" t="str">
        <f>الحركات[من صندوق]&amp;"/"&amp;الحركات[إلى صندوق]</f>
        <v>توفير/صرف</v>
      </c>
      <c r="N335" s="2" t="str">
        <f>VLOOKUP(الحركات[من صندوق],Table1[],2,0)</f>
        <v>صرف</v>
      </c>
      <c r="O335" s="2" t="str">
        <f>VLOOKUP(الحركات[إلى صندوق],Table1[[الصندوق]:[نوعه]],2,0)</f>
        <v>خارجي</v>
      </c>
    </row>
    <row r="336" spans="1:15" x14ac:dyDescent="0.3">
      <c r="A336">
        <v>201904</v>
      </c>
      <c r="B336" s="3"/>
      <c r="C336" t="s">
        <v>15</v>
      </c>
      <c r="D336" s="15">
        <f>VLOOKUP(الحركات[[#This Row],[من صندوق]],Table5[],5,0)</f>
        <v>0</v>
      </c>
      <c r="E336" t="s">
        <v>14</v>
      </c>
      <c r="F336" s="15">
        <f>VLOOKUP(الحركات[[#This Row],[إلى صندوق]],Table5[[الصندوق]:[الرصيد الفعلي]],5,0)</f>
        <v>5025</v>
      </c>
      <c r="G336" s="15">
        <f>IF(VLOOKUP(الحركات[إلى صندوق],Table1[],3,0)=0,VLOOKUP(الحركات[[#This Row],[من صندوق]],Table1[[الصندوق]:[القيمة الشهرية]],3,0),VLOOKUP(الحركات[إلى صندوق],Table1[],3,0))</f>
        <v>285</v>
      </c>
      <c r="H336" s="22">
        <v>285</v>
      </c>
      <c r="I336" s="22"/>
      <c r="J336" t="s">
        <v>71</v>
      </c>
      <c r="L336" s="26" t="b">
        <f ca="1">AND(الحركات[[#This Row],[مدفوع من شهر]]&lt;=VALUE(TEXT($A$2,"YYYYMM")),الحركات[[#This Row],[الحالة]]="")</f>
        <v>0</v>
      </c>
      <c r="M336" s="2" t="str">
        <f>الحركات[من صندوق]&amp;"/"&amp;الحركات[إلى صندوق]</f>
        <v>ملابس/صرف</v>
      </c>
      <c r="N336" s="2" t="str">
        <f>VLOOKUP(الحركات[من صندوق],Table1[],2,0)</f>
        <v>صرف</v>
      </c>
      <c r="O336" s="2" t="str">
        <f>VLOOKUP(الحركات[إلى صندوق],Table1[[الصندوق]:[نوعه]],2,0)</f>
        <v>خارجي</v>
      </c>
    </row>
    <row r="337" spans="1:15" x14ac:dyDescent="0.3">
      <c r="A337">
        <v>201904</v>
      </c>
      <c r="B337" s="3"/>
      <c r="C337" t="s">
        <v>1</v>
      </c>
      <c r="D337" s="15">
        <f>VLOOKUP(الحركات[[#This Row],[من صندوق]],Table5[],5,0)</f>
        <v>0</v>
      </c>
      <c r="E337" t="s">
        <v>14</v>
      </c>
      <c r="F337" s="15">
        <f>VLOOKUP(الحركات[[#This Row],[إلى صندوق]],Table5[[الصندوق]:[الرصيد الفعلي]],5,0)</f>
        <v>5025</v>
      </c>
      <c r="G337" s="15">
        <f>IF(VLOOKUP(الحركات[إلى صندوق],Table1[],3,0)=0,VLOOKUP(الحركات[[#This Row],[من صندوق]],Table1[[الصندوق]:[القيمة الشهرية]],3,0),VLOOKUP(الحركات[إلى صندوق],Table1[],3,0))</f>
        <v>190</v>
      </c>
      <c r="H337" s="22">
        <v>190</v>
      </c>
      <c r="I337" s="22"/>
      <c r="J337" t="s">
        <v>72</v>
      </c>
      <c r="L337" s="26" t="b">
        <f ca="1">AND(الحركات[[#This Row],[مدفوع من شهر]]&lt;=VALUE(TEXT($A$2,"YYYYMM")),الحركات[[#This Row],[الحالة]]="")</f>
        <v>0</v>
      </c>
      <c r="M337" s="2" t="str">
        <f>الحركات[من صندوق]&amp;"/"&amp;الحركات[إلى صندوق]</f>
        <v>هدايا/صرف</v>
      </c>
      <c r="N337" s="2" t="str">
        <f>VLOOKUP(الحركات[من صندوق],Table1[],2,0)</f>
        <v>صرف</v>
      </c>
      <c r="O337" s="2" t="str">
        <f>VLOOKUP(الحركات[إلى صندوق],Table1[[الصندوق]:[نوعه]],2,0)</f>
        <v>خارجي</v>
      </c>
    </row>
    <row r="338" spans="1:15" x14ac:dyDescent="0.3">
      <c r="A338">
        <v>201905</v>
      </c>
      <c r="B338" s="3"/>
      <c r="C338" t="s">
        <v>20</v>
      </c>
      <c r="D338" s="15">
        <f>VLOOKUP(الحركات[[#This Row],[من صندوق]],Table5[],5,0)</f>
        <v>-10000</v>
      </c>
      <c r="E338" t="s">
        <v>18</v>
      </c>
      <c r="F338" s="15">
        <f>VLOOKUP(الحركات[[#This Row],[إلى صندوق]],Table5[[الصندوق]:[الرصيد الفعلي]],5,0)</f>
        <v>225</v>
      </c>
      <c r="G338" s="15">
        <f>IF(VLOOKUP(الحركات[إلى صندوق],Table1[],3,0)=0,VLOOKUP(الحركات[[#This Row],[من صندوق]],Table1[[الصندوق]:[القيمة الشهرية]],3,0),VLOOKUP(الحركات[إلى صندوق],Table1[],3,0))</f>
        <v>10000</v>
      </c>
      <c r="H338" s="22">
        <v>10000</v>
      </c>
      <c r="I338" s="22"/>
      <c r="J338" t="s">
        <v>40</v>
      </c>
      <c r="L338" s="26" t="b">
        <f ca="1">AND(الحركات[[#This Row],[مدفوع من شهر]]&lt;=VALUE(TEXT($A$2,"YYYYMM")),الحركات[[#This Row],[الحالة]]="")</f>
        <v>0</v>
      </c>
      <c r="M338" s="2" t="str">
        <f>الحركات[من صندوق]&amp;"/"&amp;الحركات[إلى صندوق]</f>
        <v>الشركة/الراتب</v>
      </c>
      <c r="N338" s="2" t="str">
        <f>VLOOKUP(الحركات[من صندوق],Table1[],2,0)</f>
        <v>خارجي</v>
      </c>
      <c r="O338" s="2" t="str">
        <f>VLOOKUP(الحركات[إلى صندوق],Table1[[الصندوق]:[نوعه]],2,0)</f>
        <v>دخل</v>
      </c>
    </row>
    <row r="339" spans="1:15" x14ac:dyDescent="0.3">
      <c r="A339">
        <v>201905</v>
      </c>
      <c r="B339" s="3"/>
      <c r="C339" t="s">
        <v>18</v>
      </c>
      <c r="D339" s="15">
        <f>VLOOKUP(الحركات[[#This Row],[من صندوق]],Table5[],5,0)</f>
        <v>225</v>
      </c>
      <c r="E339" t="s">
        <v>11</v>
      </c>
      <c r="F339" s="15">
        <f>VLOOKUP(الحركات[[#This Row],[إلى صندوق]],Table5[[الصندوق]:[الرصيد الفعلي]],5,0)</f>
        <v>0</v>
      </c>
      <c r="G339" s="15">
        <f>IF(VLOOKUP(الحركات[إلى صندوق],Table1[],3,0)=0,VLOOKUP(الحركات[[#This Row],[من صندوق]],Table1[[الصندوق]:[القيمة الشهرية]],3,0),VLOOKUP(الحركات[إلى صندوق],Table1[],3,0))</f>
        <v>250</v>
      </c>
      <c r="H339" s="22">
        <v>250</v>
      </c>
      <c r="I339" s="22"/>
      <c r="J339" t="s">
        <v>47</v>
      </c>
      <c r="L339" s="26" t="b">
        <f ca="1">AND(الحركات[[#This Row],[مدفوع من شهر]]&lt;=VALUE(TEXT($A$2,"YYYYMM")),الحركات[[#This Row],[الحالة]]="")</f>
        <v>0</v>
      </c>
      <c r="M339" s="2" t="str">
        <f>الحركات[من صندوق]&amp;"/"&amp;الحركات[إلى صندوق]</f>
        <v>الراتب/فواتير</v>
      </c>
      <c r="N339" s="2" t="str">
        <f>VLOOKUP(الحركات[من صندوق],Table1[],2,0)</f>
        <v>دخل</v>
      </c>
      <c r="O339" s="2" t="str">
        <f>VLOOKUP(الحركات[إلى صندوق],Table1[[الصندوق]:[نوعه]],2,0)</f>
        <v>صرف</v>
      </c>
    </row>
    <row r="340" spans="1:15" x14ac:dyDescent="0.3">
      <c r="A340">
        <v>201905</v>
      </c>
      <c r="B340" s="3"/>
      <c r="C340" t="s">
        <v>18</v>
      </c>
      <c r="D340" s="15">
        <f>VLOOKUP(الحركات[[#This Row],[من صندوق]],Table5[],5,0)</f>
        <v>225</v>
      </c>
      <c r="E340" t="s">
        <v>13</v>
      </c>
      <c r="F340" s="15">
        <f>VLOOKUP(الحركات[[#This Row],[إلى صندوق]],Table5[[الصندوق]:[الرصيد الفعلي]],5,0)</f>
        <v>0</v>
      </c>
      <c r="G340" s="15">
        <f>IF(VLOOKUP(الحركات[إلى صندوق],Table1[],3,0)=0,VLOOKUP(الحركات[[#This Row],[من صندوق]],Table1[[الصندوق]:[القيمة الشهرية]],3,0),VLOOKUP(الحركات[إلى صندوق],Table1[],3,0))</f>
        <v>3800</v>
      </c>
      <c r="H340" s="22">
        <v>3800</v>
      </c>
      <c r="I340" s="22"/>
      <c r="J340" t="s">
        <v>48</v>
      </c>
      <c r="L340" s="26" t="b">
        <f ca="1">AND(الحركات[[#This Row],[مدفوع من شهر]]&lt;=VALUE(TEXT($A$2,"YYYYMM")),الحركات[[#This Row],[الحالة]]="")</f>
        <v>0</v>
      </c>
      <c r="M340" s="2" t="str">
        <f>الحركات[من صندوق]&amp;"/"&amp;الحركات[إلى صندوق]</f>
        <v>الراتب/مصاريف شهرية</v>
      </c>
      <c r="N340" s="2" t="str">
        <f>VLOOKUP(الحركات[من صندوق],Table1[],2,0)</f>
        <v>دخل</v>
      </c>
      <c r="O340" s="2" t="str">
        <f>VLOOKUP(الحركات[إلى صندوق],Table1[[الصندوق]:[نوعه]],2,0)</f>
        <v>صرف</v>
      </c>
    </row>
    <row r="341" spans="1:15" x14ac:dyDescent="0.3">
      <c r="A341">
        <v>201905</v>
      </c>
      <c r="B341" s="3"/>
      <c r="C341" t="s">
        <v>18</v>
      </c>
      <c r="D341" s="15">
        <f>VLOOKUP(الحركات[[#This Row],[من صندوق]],Table5[],5,0)</f>
        <v>225</v>
      </c>
      <c r="E341" t="s">
        <v>3</v>
      </c>
      <c r="F341" s="15">
        <f>VLOOKUP(الحركات[[#This Row],[إلى صندوق]],Table5[[الصندوق]:[الرصيد الفعلي]],5,0)</f>
        <v>2000</v>
      </c>
      <c r="G341" s="15">
        <f>IF(VLOOKUP(الحركات[إلى صندوق],Table1[],3,0)=0,VLOOKUP(الحركات[[#This Row],[من صندوق]],Table1[[الصندوق]:[القيمة الشهرية]],3,0),VLOOKUP(الحركات[إلى صندوق],Table1[],3,0))</f>
        <v>2000</v>
      </c>
      <c r="H341" s="22">
        <v>2000</v>
      </c>
      <c r="I341" s="22"/>
      <c r="J341" t="s">
        <v>49</v>
      </c>
      <c r="L341" s="26" t="b">
        <f ca="1">AND(الحركات[[#This Row],[مدفوع من شهر]]&lt;=VALUE(TEXT($A$2,"YYYYMM")),الحركات[[#This Row],[الحالة]]="")</f>
        <v>0</v>
      </c>
      <c r="M341" s="2" t="str">
        <f>الحركات[من صندوق]&amp;"/"&amp;الحركات[إلى صندوق]</f>
        <v>الراتب/مدارس</v>
      </c>
      <c r="N341" s="2" t="str">
        <f>VLOOKUP(الحركات[من صندوق],Table1[],2,0)</f>
        <v>دخل</v>
      </c>
      <c r="O341" s="2" t="str">
        <f>VLOOKUP(الحركات[إلى صندوق],Table1[[الصندوق]:[نوعه]],2,0)</f>
        <v>صرف</v>
      </c>
    </row>
    <row r="342" spans="1:15" x14ac:dyDescent="0.3">
      <c r="A342">
        <v>201905</v>
      </c>
      <c r="B342" s="3"/>
      <c r="C342" t="s">
        <v>18</v>
      </c>
      <c r="D342" s="15">
        <f>VLOOKUP(الحركات[[#This Row],[من صندوق]],Table5[],5,0)</f>
        <v>225</v>
      </c>
      <c r="E342" t="s">
        <v>21</v>
      </c>
      <c r="F342" s="15">
        <f>VLOOKUP(الحركات[[#This Row],[إلى صندوق]],Table5[[الصندوق]:[الرصيد الفعلي]],5,0)</f>
        <v>1500</v>
      </c>
      <c r="G342" s="15">
        <f>IF(VLOOKUP(الحركات[إلى صندوق],Table1[],3,0)=0,VLOOKUP(الحركات[[#This Row],[من صندوق]],Table1[[الصندوق]:[القيمة الشهرية]],3,0),VLOOKUP(الحركات[إلى صندوق],Table1[],3,0))</f>
        <v>1500</v>
      </c>
      <c r="H342" s="22">
        <v>1500</v>
      </c>
      <c r="I342" s="22"/>
      <c r="J342" t="s">
        <v>50</v>
      </c>
      <c r="L342" s="26" t="b">
        <f ca="1">AND(الحركات[[#This Row],[مدفوع من شهر]]&lt;=VALUE(TEXT($A$2,"YYYYMM")),الحركات[[#This Row],[الحالة]]="")</f>
        <v>0</v>
      </c>
      <c r="M342" s="2" t="str">
        <f>الحركات[من صندوق]&amp;"/"&amp;الحركات[إلى صندوق]</f>
        <v>الراتب/ايجار المنزل</v>
      </c>
      <c r="N342" s="2" t="str">
        <f>VLOOKUP(الحركات[من صندوق],Table1[],2,0)</f>
        <v>دخل</v>
      </c>
      <c r="O342" s="2" t="str">
        <f>VLOOKUP(الحركات[إلى صندوق],Table1[[الصندوق]:[نوعه]],2,0)</f>
        <v>صرف</v>
      </c>
    </row>
    <row r="343" spans="1:15" x14ac:dyDescent="0.3">
      <c r="A343">
        <v>201905</v>
      </c>
      <c r="B343" s="3"/>
      <c r="C343" t="s">
        <v>18</v>
      </c>
      <c r="D343" s="15">
        <f>VLOOKUP(الحركات[[#This Row],[من صندوق]],Table5[],5,0)</f>
        <v>225</v>
      </c>
      <c r="E343" t="s">
        <v>0</v>
      </c>
      <c r="F343" s="15">
        <f>VLOOKUP(الحركات[[#This Row],[إلى صندوق]],Table5[[الصندوق]:[الرصيد الفعلي]],5,0)</f>
        <v>0</v>
      </c>
      <c r="G343" s="15">
        <f>IF(VLOOKUP(الحركات[إلى صندوق],Table1[],3,0)=0,VLOOKUP(الحركات[[#This Row],[من صندوق]],Table1[[الصندوق]:[القيمة الشهرية]],3,0),VLOOKUP(الحركات[إلى صندوق],Table1[],3,0))</f>
        <v>500</v>
      </c>
      <c r="H343" s="22">
        <v>500</v>
      </c>
      <c r="I343" s="22"/>
      <c r="J343" t="s">
        <v>51</v>
      </c>
      <c r="L343" s="26" t="b">
        <f ca="1">AND(الحركات[[#This Row],[مدفوع من شهر]]&lt;=VALUE(TEXT($A$2,"YYYYMM")),الحركات[[#This Row],[الحالة]]="")</f>
        <v>0</v>
      </c>
      <c r="M343" s="2" t="str">
        <f>الحركات[من صندوق]&amp;"/"&amp;الحركات[إلى صندوق]</f>
        <v>الراتب/توفير</v>
      </c>
      <c r="N343" s="2" t="str">
        <f>VLOOKUP(الحركات[من صندوق],Table1[],2,0)</f>
        <v>دخل</v>
      </c>
      <c r="O343" s="2" t="str">
        <f>VLOOKUP(الحركات[إلى صندوق],Table1[[الصندوق]:[نوعه]],2,0)</f>
        <v>صرف</v>
      </c>
    </row>
    <row r="344" spans="1:15" x14ac:dyDescent="0.3">
      <c r="A344">
        <v>201905</v>
      </c>
      <c r="B344" s="3"/>
      <c r="C344" t="s">
        <v>18</v>
      </c>
      <c r="D344" s="15">
        <f>VLOOKUP(الحركات[[#This Row],[من صندوق]],Table5[],5,0)</f>
        <v>225</v>
      </c>
      <c r="E344" t="s">
        <v>12</v>
      </c>
      <c r="F344" s="15">
        <f>VLOOKUP(الحركات[[#This Row],[إلى صندوق]],Table5[[الصندوق]:[الرصيد الفعلي]],5,0)</f>
        <v>400</v>
      </c>
      <c r="G344" s="15">
        <f>IF(VLOOKUP(الحركات[إلى صندوق],Table1[],3,0)=0,VLOOKUP(الحركات[[#This Row],[من صندوق]],Table1[[الصندوق]:[القيمة الشهرية]],3,0),VLOOKUP(الحركات[إلى صندوق],Table1[],3,0))</f>
        <v>400</v>
      </c>
      <c r="H344" s="22">
        <v>400</v>
      </c>
      <c r="I344" s="22"/>
      <c r="J344" t="s">
        <v>52</v>
      </c>
      <c r="L344" s="26" t="b">
        <f ca="1">AND(الحركات[[#This Row],[مدفوع من شهر]]&lt;=VALUE(TEXT($A$2,"YYYYMM")),الحركات[[#This Row],[الحالة]]="")</f>
        <v>0</v>
      </c>
      <c r="M344" s="2" t="str">
        <f>الحركات[من صندوق]&amp;"/"&amp;الحركات[إلى صندوق]</f>
        <v>الراتب/اجازات</v>
      </c>
      <c r="N344" s="2" t="str">
        <f>VLOOKUP(الحركات[من صندوق],Table1[],2,0)</f>
        <v>دخل</v>
      </c>
      <c r="O344" s="2" t="str">
        <f>VLOOKUP(الحركات[إلى صندوق],Table1[[الصندوق]:[نوعه]],2,0)</f>
        <v>صرف</v>
      </c>
    </row>
    <row r="345" spans="1:15" x14ac:dyDescent="0.3">
      <c r="A345">
        <v>201905</v>
      </c>
      <c r="B345" s="3"/>
      <c r="C345" t="s">
        <v>18</v>
      </c>
      <c r="D345" s="15">
        <f>VLOOKUP(الحركات[[#This Row],[من صندوق]],Table5[],5,0)</f>
        <v>225</v>
      </c>
      <c r="E345" t="s">
        <v>9</v>
      </c>
      <c r="F345" s="15">
        <f>VLOOKUP(الحركات[[#This Row],[إلى صندوق]],Table5[[الصندوق]:[الرصيد الفعلي]],5,0)</f>
        <v>200</v>
      </c>
      <c r="G345" s="15">
        <f>IF(VLOOKUP(الحركات[إلى صندوق],Table1[],3,0)=0,VLOOKUP(الحركات[[#This Row],[من صندوق]],Table1[[الصندوق]:[القيمة الشهرية]],3,0),VLOOKUP(الحركات[إلى صندوق],Table1[],3,0))</f>
        <v>200</v>
      </c>
      <c r="H345" s="22">
        <v>200</v>
      </c>
      <c r="I345" s="22"/>
      <c r="J345" t="s">
        <v>53</v>
      </c>
      <c r="L345" s="26" t="b">
        <f ca="1">AND(الحركات[[#This Row],[مدفوع من شهر]]&lt;=VALUE(TEXT($A$2,"YYYYMM")),الحركات[[#This Row],[الحالة]]="")</f>
        <v>0</v>
      </c>
      <c r="M345" s="2" t="str">
        <f>الحركات[من صندوق]&amp;"/"&amp;الحركات[إلى صندوق]</f>
        <v>الراتب/دورات</v>
      </c>
      <c r="N345" s="2" t="str">
        <f>VLOOKUP(الحركات[من صندوق],Table1[],2,0)</f>
        <v>دخل</v>
      </c>
      <c r="O345" s="2" t="str">
        <f>VLOOKUP(الحركات[إلى صندوق],Table1[[الصندوق]:[نوعه]],2,0)</f>
        <v>صرف</v>
      </c>
    </row>
    <row r="346" spans="1:15" x14ac:dyDescent="0.3">
      <c r="A346">
        <v>201905</v>
      </c>
      <c r="B346" s="3"/>
      <c r="C346" t="s">
        <v>18</v>
      </c>
      <c r="D346" s="15">
        <f>VLOOKUP(الحركات[[#This Row],[من صندوق]],Table5[],5,0)</f>
        <v>225</v>
      </c>
      <c r="E346" t="s">
        <v>22</v>
      </c>
      <c r="F346" s="15">
        <f>VLOOKUP(الحركات[[#This Row],[إلى صندوق]],Table5[[الصندوق]:[الرصيد الفعلي]],5,0)</f>
        <v>200</v>
      </c>
      <c r="G346" s="15">
        <f>IF(VLOOKUP(الحركات[إلى صندوق],Table1[],3,0)=0,VLOOKUP(الحركات[[#This Row],[من صندوق]],Table1[[الصندوق]:[القيمة الشهرية]],3,0),VLOOKUP(الحركات[إلى صندوق],Table1[],3,0))</f>
        <v>200</v>
      </c>
      <c r="H346" s="22">
        <v>200</v>
      </c>
      <c r="I346" s="22"/>
      <c r="J346" t="s">
        <v>54</v>
      </c>
      <c r="L346" s="26" t="b">
        <f ca="1">AND(الحركات[[#This Row],[مدفوع من شهر]]&lt;=VALUE(TEXT($A$2,"YYYYMM")),الحركات[[#This Row],[الحالة]]="")</f>
        <v>0</v>
      </c>
      <c r="M346" s="2" t="str">
        <f>الحركات[من صندوق]&amp;"/"&amp;الحركات[إلى صندوق]</f>
        <v>الراتب/زكاة</v>
      </c>
      <c r="N346" s="2" t="str">
        <f>VLOOKUP(الحركات[من صندوق],Table1[],2,0)</f>
        <v>دخل</v>
      </c>
      <c r="O346" s="2" t="str">
        <f>VLOOKUP(الحركات[إلى صندوق],Table1[[الصندوق]:[نوعه]],2,0)</f>
        <v>صرف</v>
      </c>
    </row>
    <row r="347" spans="1:15" x14ac:dyDescent="0.3">
      <c r="A347">
        <v>201905</v>
      </c>
      <c r="B347" s="3"/>
      <c r="C347" t="s">
        <v>18</v>
      </c>
      <c r="D347" s="15">
        <f>VLOOKUP(الحركات[[#This Row],[من صندوق]],Table5[],5,0)</f>
        <v>225</v>
      </c>
      <c r="E347" t="s">
        <v>10</v>
      </c>
      <c r="F347" s="15">
        <f>VLOOKUP(الحركات[[#This Row],[إلى صندوق]],Table5[[الصندوق]:[الرصيد الفعلي]],5,0)</f>
        <v>250</v>
      </c>
      <c r="G347" s="15">
        <f>IF(VLOOKUP(الحركات[إلى صندوق],Table1[],3,0)=0,VLOOKUP(الحركات[[#This Row],[من صندوق]],Table1[[الصندوق]:[القيمة الشهرية]],3,0),VLOOKUP(الحركات[إلى صندوق],Table1[],3,0))</f>
        <v>250</v>
      </c>
      <c r="H347" s="22">
        <v>250</v>
      </c>
      <c r="I347" s="22"/>
      <c r="J347" t="s">
        <v>55</v>
      </c>
      <c r="L347" s="26" t="b">
        <f ca="1">AND(الحركات[[#This Row],[مدفوع من شهر]]&lt;=VALUE(TEXT($A$2,"YYYYMM")),الحركات[[#This Row],[الحالة]]="")</f>
        <v>0</v>
      </c>
      <c r="M347" s="2" t="str">
        <f>الحركات[من صندوق]&amp;"/"&amp;الحركات[إلى صندوق]</f>
        <v>الراتب/صيانة السيارة</v>
      </c>
      <c r="N347" s="2" t="str">
        <f>VLOOKUP(الحركات[من صندوق],Table1[],2,0)</f>
        <v>دخل</v>
      </c>
      <c r="O347" s="2" t="str">
        <f>VLOOKUP(الحركات[إلى صندوق],Table1[[الصندوق]:[نوعه]],2,0)</f>
        <v>صرف</v>
      </c>
    </row>
    <row r="348" spans="1:15" x14ac:dyDescent="0.3">
      <c r="A348">
        <v>201905</v>
      </c>
      <c r="B348" s="3"/>
      <c r="C348" t="s">
        <v>18</v>
      </c>
      <c r="D348" s="15">
        <f>VLOOKUP(الحركات[[#This Row],[من صندوق]],Table5[],5,0)</f>
        <v>225</v>
      </c>
      <c r="E348" t="s">
        <v>15</v>
      </c>
      <c r="F348" s="15">
        <f>VLOOKUP(الحركات[[#This Row],[إلى صندوق]],Table5[[الصندوق]:[الرصيد الفعلي]],5,0)</f>
        <v>0</v>
      </c>
      <c r="G348" s="15">
        <f>IF(VLOOKUP(الحركات[إلى صندوق],Table1[],3,0)=0,VLOOKUP(الحركات[[#This Row],[من صندوق]],Table1[[الصندوق]:[القيمة الشهرية]],3,0),VLOOKUP(الحركات[إلى صندوق],Table1[],3,0))</f>
        <v>285</v>
      </c>
      <c r="H348" s="22">
        <v>285</v>
      </c>
      <c r="I348" s="22"/>
      <c r="J348" t="s">
        <v>56</v>
      </c>
      <c r="L348" s="26" t="b">
        <f ca="1">AND(الحركات[[#This Row],[مدفوع من شهر]]&lt;=VALUE(TEXT($A$2,"YYYYMM")),الحركات[[#This Row],[الحالة]]="")</f>
        <v>0</v>
      </c>
      <c r="M348" s="2" t="str">
        <f>الحركات[من صندوق]&amp;"/"&amp;الحركات[إلى صندوق]</f>
        <v>الراتب/ملابس</v>
      </c>
      <c r="N348" s="2" t="str">
        <f>VLOOKUP(الحركات[من صندوق],Table1[],2,0)</f>
        <v>دخل</v>
      </c>
      <c r="O348" s="2" t="str">
        <f>VLOOKUP(الحركات[إلى صندوق],Table1[[الصندوق]:[نوعه]],2,0)</f>
        <v>صرف</v>
      </c>
    </row>
    <row r="349" spans="1:15" x14ac:dyDescent="0.3">
      <c r="A349">
        <v>201905</v>
      </c>
      <c r="B349" s="3"/>
      <c r="C349" t="s">
        <v>18</v>
      </c>
      <c r="D349" s="15">
        <f>VLOOKUP(الحركات[[#This Row],[من صندوق]],Table5[],5,0)</f>
        <v>225</v>
      </c>
      <c r="E349" t="s">
        <v>1</v>
      </c>
      <c r="F349" s="15">
        <f>VLOOKUP(الحركات[[#This Row],[إلى صندوق]],Table5[[الصندوق]:[الرصيد الفعلي]],5,0)</f>
        <v>0</v>
      </c>
      <c r="G349" s="15">
        <f>IF(VLOOKUP(الحركات[إلى صندوق],Table1[],3,0)=0,VLOOKUP(الحركات[[#This Row],[من صندوق]],Table1[[الصندوق]:[القيمة الشهرية]],3,0),VLOOKUP(الحركات[إلى صندوق],Table1[],3,0))</f>
        <v>190</v>
      </c>
      <c r="H349" s="22">
        <v>190</v>
      </c>
      <c r="I349" s="22"/>
      <c r="J349" t="s">
        <v>57</v>
      </c>
      <c r="L349" s="26" t="b">
        <f ca="1">AND(الحركات[[#This Row],[مدفوع من شهر]]&lt;=VALUE(TEXT($A$2,"YYYYMM")),الحركات[[#This Row],[الحالة]]="")</f>
        <v>0</v>
      </c>
      <c r="M349" s="2" t="str">
        <f>الحركات[من صندوق]&amp;"/"&amp;الحركات[إلى صندوق]</f>
        <v>الراتب/هدايا</v>
      </c>
      <c r="N349" s="2" t="str">
        <f>VLOOKUP(الحركات[من صندوق],Table1[],2,0)</f>
        <v>دخل</v>
      </c>
      <c r="O349" s="2" t="str">
        <f>VLOOKUP(الحركات[إلى صندوق],Table1[[الصندوق]:[نوعه]],2,0)</f>
        <v>صرف</v>
      </c>
    </row>
    <row r="350" spans="1:15" x14ac:dyDescent="0.3">
      <c r="A350">
        <v>201905</v>
      </c>
      <c r="B350" s="3"/>
      <c r="C350" t="s">
        <v>18</v>
      </c>
      <c r="D350" s="15">
        <f>VLOOKUP(الحركات[[#This Row],[من صندوق]],Table5[],5,0)</f>
        <v>225</v>
      </c>
      <c r="E350" t="s">
        <v>4</v>
      </c>
      <c r="F350" s="15">
        <f>VLOOKUP(الحركات[[#This Row],[إلى صندوق]],Table5[[الصندوق]:[الرصيد الفعلي]],5,0)</f>
        <v>200</v>
      </c>
      <c r="G350" s="15">
        <f>IF(VLOOKUP(الحركات[إلى صندوق],Table1[],3,0)=0,VLOOKUP(الحركات[[#This Row],[من صندوق]],Table1[[الصندوق]:[القيمة الشهرية]],3,0),VLOOKUP(الحركات[إلى صندوق],Table1[],3,0))</f>
        <v>200</v>
      </c>
      <c r="H350" s="22">
        <v>200</v>
      </c>
      <c r="I350" s="22"/>
      <c r="J350" t="s">
        <v>58</v>
      </c>
      <c r="L350" s="26" t="b">
        <f ca="1">AND(الحركات[[#This Row],[مدفوع من شهر]]&lt;=VALUE(TEXT($A$2,"YYYYMM")),الحركات[[#This Row],[الحالة]]="")</f>
        <v>0</v>
      </c>
      <c r="M350" s="2" t="str">
        <f>الحركات[من صندوق]&amp;"/"&amp;الحركات[إلى صندوق]</f>
        <v>الراتب/طوارئ</v>
      </c>
      <c r="N350" s="2" t="str">
        <f>VLOOKUP(الحركات[من صندوق],Table1[],2,0)</f>
        <v>دخل</v>
      </c>
      <c r="O350" s="2" t="str">
        <f>VLOOKUP(الحركات[إلى صندوق],Table1[[الصندوق]:[نوعه]],2,0)</f>
        <v>صرف</v>
      </c>
    </row>
    <row r="351" spans="1:15" x14ac:dyDescent="0.3">
      <c r="A351">
        <v>201905</v>
      </c>
      <c r="B351" s="3"/>
      <c r="C351" t="s">
        <v>11</v>
      </c>
      <c r="D351" s="15">
        <f>VLOOKUP(الحركات[[#This Row],[من صندوق]],Table5[],5,0)</f>
        <v>0</v>
      </c>
      <c r="E351" t="s">
        <v>14</v>
      </c>
      <c r="F351" s="15">
        <f>VLOOKUP(الحركات[[#This Row],[إلى صندوق]],Table5[[الصندوق]:[الرصيد الفعلي]],5,0)</f>
        <v>5025</v>
      </c>
      <c r="G351" s="15">
        <f>IF(VLOOKUP(الحركات[إلى صندوق],Table1[],3,0)=0,VLOOKUP(الحركات[[#This Row],[من صندوق]],Table1[[الصندوق]:[القيمة الشهرية]],3,0),VLOOKUP(الحركات[إلى صندوق],Table1[],3,0))</f>
        <v>250</v>
      </c>
      <c r="H351" s="22">
        <v>250</v>
      </c>
      <c r="I351" s="22"/>
      <c r="J351" t="s">
        <v>59</v>
      </c>
      <c r="L351" s="26" t="b">
        <f ca="1">AND(الحركات[[#This Row],[مدفوع من شهر]]&lt;=VALUE(TEXT($A$2,"YYYYMM")),الحركات[[#This Row],[الحالة]]="")</f>
        <v>0</v>
      </c>
      <c r="M351" s="2" t="str">
        <f>الحركات[من صندوق]&amp;"/"&amp;الحركات[إلى صندوق]</f>
        <v>فواتير/صرف</v>
      </c>
      <c r="N351" s="2" t="str">
        <f>VLOOKUP(الحركات[من صندوق],Table1[],2,0)</f>
        <v>صرف</v>
      </c>
      <c r="O351" s="2" t="str">
        <f>VLOOKUP(الحركات[إلى صندوق],Table1[[الصندوق]:[نوعه]],2,0)</f>
        <v>خارجي</v>
      </c>
    </row>
    <row r="352" spans="1:15" x14ac:dyDescent="0.3">
      <c r="A352">
        <v>201905</v>
      </c>
      <c r="B352" s="3"/>
      <c r="C352" t="s">
        <v>13</v>
      </c>
      <c r="D352" s="15">
        <f>VLOOKUP(الحركات[[#This Row],[من صندوق]],Table5[],5,0)</f>
        <v>0</v>
      </c>
      <c r="E352" t="s">
        <v>14</v>
      </c>
      <c r="F352" s="15">
        <f>VLOOKUP(الحركات[[#This Row],[إلى صندوق]],Table5[[الصندوق]:[الرصيد الفعلي]],5,0)</f>
        <v>5025</v>
      </c>
      <c r="G352" s="15">
        <f>IF(VLOOKUP(الحركات[إلى صندوق],Table1[],3,0)=0,VLOOKUP(الحركات[[#This Row],[من صندوق]],Table1[[الصندوق]:[القيمة الشهرية]],3,0),VLOOKUP(الحركات[إلى صندوق],Table1[],3,0))</f>
        <v>3800</v>
      </c>
      <c r="H352" s="22">
        <v>3800</v>
      </c>
      <c r="I352" s="22"/>
      <c r="J352" t="s">
        <v>60</v>
      </c>
      <c r="L352" s="26" t="b">
        <f ca="1">AND(الحركات[[#This Row],[مدفوع من شهر]]&lt;=VALUE(TEXT($A$2,"YYYYMM")),الحركات[[#This Row],[الحالة]]="")</f>
        <v>0</v>
      </c>
      <c r="M352" s="2" t="str">
        <f>الحركات[من صندوق]&amp;"/"&amp;الحركات[إلى صندوق]</f>
        <v>مصاريف شهرية/صرف</v>
      </c>
      <c r="N352" s="2" t="str">
        <f>VLOOKUP(الحركات[من صندوق],Table1[],2,0)</f>
        <v>صرف</v>
      </c>
      <c r="O352" s="2" t="str">
        <f>VLOOKUP(الحركات[إلى صندوق],Table1[[الصندوق]:[نوعه]],2,0)</f>
        <v>خارجي</v>
      </c>
    </row>
    <row r="353" spans="1:15" x14ac:dyDescent="0.3">
      <c r="A353">
        <v>201905</v>
      </c>
      <c r="B353" s="3"/>
      <c r="C353" t="s">
        <v>0</v>
      </c>
      <c r="D353" s="15">
        <f>VLOOKUP(الحركات[[#This Row],[من صندوق]],Table5[],5,0)</f>
        <v>0</v>
      </c>
      <c r="E353" t="s">
        <v>14</v>
      </c>
      <c r="F353" s="15">
        <f>VLOOKUP(الحركات[[#This Row],[إلى صندوق]],Table5[[الصندوق]:[الرصيد الفعلي]],5,0)</f>
        <v>5025</v>
      </c>
      <c r="G353" s="15">
        <f>IF(VLOOKUP(الحركات[إلى صندوق],Table1[],3,0)=0,VLOOKUP(الحركات[[#This Row],[من صندوق]],Table1[[الصندوق]:[القيمة الشهرية]],3,0),VLOOKUP(الحركات[إلى صندوق],Table1[],3,0))</f>
        <v>500</v>
      </c>
      <c r="H353" s="22">
        <v>500</v>
      </c>
      <c r="I353" s="22"/>
      <c r="J353" t="s">
        <v>66</v>
      </c>
      <c r="L353" s="26" t="b">
        <f ca="1">AND(الحركات[[#This Row],[مدفوع من شهر]]&lt;=VALUE(TEXT($A$2,"YYYYMM")),الحركات[[#This Row],[الحالة]]="")</f>
        <v>0</v>
      </c>
      <c r="M353" s="2" t="str">
        <f>الحركات[من صندوق]&amp;"/"&amp;الحركات[إلى صندوق]</f>
        <v>توفير/صرف</v>
      </c>
      <c r="N353" s="2" t="str">
        <f>VLOOKUP(الحركات[من صندوق],Table1[],2,0)</f>
        <v>صرف</v>
      </c>
      <c r="O353" s="2" t="str">
        <f>VLOOKUP(الحركات[إلى صندوق],Table1[[الصندوق]:[نوعه]],2,0)</f>
        <v>خارجي</v>
      </c>
    </row>
    <row r="354" spans="1:15" x14ac:dyDescent="0.3">
      <c r="A354">
        <v>201905</v>
      </c>
      <c r="B354" s="3"/>
      <c r="C354" t="s">
        <v>15</v>
      </c>
      <c r="D354" s="15">
        <f>VLOOKUP(الحركات[[#This Row],[من صندوق]],Table5[],5,0)</f>
        <v>0</v>
      </c>
      <c r="E354" t="s">
        <v>14</v>
      </c>
      <c r="F354" s="15">
        <f>VLOOKUP(الحركات[[#This Row],[إلى صندوق]],Table5[[الصندوق]:[الرصيد الفعلي]],5,0)</f>
        <v>5025</v>
      </c>
      <c r="G354" s="15">
        <f>IF(VLOOKUP(الحركات[إلى صندوق],Table1[],3,0)=0,VLOOKUP(الحركات[[#This Row],[من صندوق]],Table1[[الصندوق]:[القيمة الشهرية]],3,0),VLOOKUP(الحركات[إلى صندوق],Table1[],3,0))</f>
        <v>285</v>
      </c>
      <c r="H354" s="22">
        <v>285</v>
      </c>
      <c r="I354" s="22"/>
      <c r="J354" t="s">
        <v>71</v>
      </c>
      <c r="L354" s="26" t="b">
        <f ca="1">AND(الحركات[[#This Row],[مدفوع من شهر]]&lt;=VALUE(TEXT($A$2,"YYYYMM")),الحركات[[#This Row],[الحالة]]="")</f>
        <v>0</v>
      </c>
      <c r="M354" s="2" t="str">
        <f>الحركات[من صندوق]&amp;"/"&amp;الحركات[إلى صندوق]</f>
        <v>ملابس/صرف</v>
      </c>
      <c r="N354" s="2" t="str">
        <f>VLOOKUP(الحركات[من صندوق],Table1[],2,0)</f>
        <v>صرف</v>
      </c>
      <c r="O354" s="2" t="str">
        <f>VLOOKUP(الحركات[إلى صندوق],Table1[[الصندوق]:[نوعه]],2,0)</f>
        <v>خارجي</v>
      </c>
    </row>
    <row r="355" spans="1:15" x14ac:dyDescent="0.3">
      <c r="A355">
        <v>201905</v>
      </c>
      <c r="B355" s="3"/>
      <c r="C355" t="s">
        <v>1</v>
      </c>
      <c r="D355" s="15">
        <f>VLOOKUP(الحركات[[#This Row],[من صندوق]],Table5[],5,0)</f>
        <v>0</v>
      </c>
      <c r="E355" t="s">
        <v>14</v>
      </c>
      <c r="F355" s="15">
        <f>VLOOKUP(الحركات[[#This Row],[إلى صندوق]],Table5[[الصندوق]:[الرصيد الفعلي]],5,0)</f>
        <v>5025</v>
      </c>
      <c r="G355" s="15">
        <f>IF(VLOOKUP(الحركات[إلى صندوق],Table1[],3,0)=0,VLOOKUP(الحركات[[#This Row],[من صندوق]],Table1[[الصندوق]:[القيمة الشهرية]],3,0),VLOOKUP(الحركات[إلى صندوق],Table1[],3,0))</f>
        <v>190</v>
      </c>
      <c r="H355" s="22">
        <v>190</v>
      </c>
      <c r="I355" s="22"/>
      <c r="J355" t="s">
        <v>72</v>
      </c>
      <c r="L355" s="26" t="b">
        <f ca="1">AND(الحركات[[#This Row],[مدفوع من شهر]]&lt;=VALUE(TEXT($A$2,"YYYYMM")),الحركات[[#This Row],[الحالة]]="")</f>
        <v>0</v>
      </c>
      <c r="M355" s="2" t="str">
        <f>الحركات[من صندوق]&amp;"/"&amp;الحركات[إلى صندوق]</f>
        <v>هدايا/صرف</v>
      </c>
      <c r="N355" s="2" t="str">
        <f>VLOOKUP(الحركات[من صندوق],Table1[],2,0)</f>
        <v>صرف</v>
      </c>
      <c r="O355" s="2" t="str">
        <f>VLOOKUP(الحركات[إلى صندوق],Table1[[الصندوق]:[نوعه]],2,0)</f>
        <v>خارجي</v>
      </c>
    </row>
    <row r="356" spans="1:15" x14ac:dyDescent="0.3">
      <c r="A356">
        <v>201906</v>
      </c>
      <c r="B356" s="3"/>
      <c r="C356" t="s">
        <v>20</v>
      </c>
      <c r="D356" s="15">
        <f>VLOOKUP(الحركات[[#This Row],[من صندوق]],Table5[],5,0)</f>
        <v>-10000</v>
      </c>
      <c r="E356" t="s">
        <v>18</v>
      </c>
      <c r="F356" s="15">
        <f>VLOOKUP(الحركات[[#This Row],[إلى صندوق]],Table5[[الصندوق]:[الرصيد الفعلي]],5,0)</f>
        <v>225</v>
      </c>
      <c r="G356" s="15">
        <f>IF(VLOOKUP(الحركات[إلى صندوق],Table1[],3,0)=0,VLOOKUP(الحركات[[#This Row],[من صندوق]],Table1[[الصندوق]:[القيمة الشهرية]],3,0),VLOOKUP(الحركات[إلى صندوق],Table1[],3,0))</f>
        <v>10000</v>
      </c>
      <c r="H356" s="22">
        <v>10000</v>
      </c>
      <c r="I356" s="22"/>
      <c r="J356" t="s">
        <v>40</v>
      </c>
      <c r="L356" s="26" t="b">
        <f ca="1">AND(الحركات[[#This Row],[مدفوع من شهر]]&lt;=VALUE(TEXT($A$2,"YYYYMM")),الحركات[[#This Row],[الحالة]]="")</f>
        <v>0</v>
      </c>
      <c r="M356" s="2" t="str">
        <f>الحركات[من صندوق]&amp;"/"&amp;الحركات[إلى صندوق]</f>
        <v>الشركة/الراتب</v>
      </c>
      <c r="N356" s="2" t="str">
        <f>VLOOKUP(الحركات[من صندوق],Table1[],2,0)</f>
        <v>خارجي</v>
      </c>
      <c r="O356" s="2" t="str">
        <f>VLOOKUP(الحركات[إلى صندوق],Table1[[الصندوق]:[نوعه]],2,0)</f>
        <v>دخل</v>
      </c>
    </row>
    <row r="357" spans="1:15" x14ac:dyDescent="0.3">
      <c r="A357">
        <v>201906</v>
      </c>
      <c r="B357" s="3"/>
      <c r="C357" t="s">
        <v>18</v>
      </c>
      <c r="D357" s="15">
        <f>VLOOKUP(الحركات[[#This Row],[من صندوق]],Table5[],5,0)</f>
        <v>225</v>
      </c>
      <c r="E357" t="s">
        <v>11</v>
      </c>
      <c r="F357" s="15">
        <f>VLOOKUP(الحركات[[#This Row],[إلى صندوق]],Table5[[الصندوق]:[الرصيد الفعلي]],5,0)</f>
        <v>0</v>
      </c>
      <c r="G357" s="15">
        <f>IF(VLOOKUP(الحركات[إلى صندوق],Table1[],3,0)=0,VLOOKUP(الحركات[[#This Row],[من صندوق]],Table1[[الصندوق]:[القيمة الشهرية]],3,0),VLOOKUP(الحركات[إلى صندوق],Table1[],3,0))</f>
        <v>250</v>
      </c>
      <c r="H357" s="22">
        <v>250</v>
      </c>
      <c r="I357" s="22"/>
      <c r="J357" t="s">
        <v>47</v>
      </c>
      <c r="L357" s="26" t="b">
        <f ca="1">AND(الحركات[[#This Row],[مدفوع من شهر]]&lt;=VALUE(TEXT($A$2,"YYYYMM")),الحركات[[#This Row],[الحالة]]="")</f>
        <v>0</v>
      </c>
      <c r="M357" s="2" t="str">
        <f>الحركات[من صندوق]&amp;"/"&amp;الحركات[إلى صندوق]</f>
        <v>الراتب/فواتير</v>
      </c>
      <c r="N357" s="2" t="str">
        <f>VLOOKUP(الحركات[من صندوق],Table1[],2,0)</f>
        <v>دخل</v>
      </c>
      <c r="O357" s="2" t="str">
        <f>VLOOKUP(الحركات[إلى صندوق],Table1[[الصندوق]:[نوعه]],2,0)</f>
        <v>صرف</v>
      </c>
    </row>
    <row r="358" spans="1:15" x14ac:dyDescent="0.3">
      <c r="A358">
        <v>201906</v>
      </c>
      <c r="B358" s="3"/>
      <c r="C358" t="s">
        <v>18</v>
      </c>
      <c r="D358" s="15">
        <f>VLOOKUP(الحركات[[#This Row],[من صندوق]],Table5[],5,0)</f>
        <v>225</v>
      </c>
      <c r="E358" t="s">
        <v>13</v>
      </c>
      <c r="F358" s="15">
        <f>VLOOKUP(الحركات[[#This Row],[إلى صندوق]],Table5[[الصندوق]:[الرصيد الفعلي]],5,0)</f>
        <v>0</v>
      </c>
      <c r="G358" s="15">
        <f>IF(VLOOKUP(الحركات[إلى صندوق],Table1[],3,0)=0,VLOOKUP(الحركات[[#This Row],[من صندوق]],Table1[[الصندوق]:[القيمة الشهرية]],3,0),VLOOKUP(الحركات[إلى صندوق],Table1[],3,0))</f>
        <v>3800</v>
      </c>
      <c r="H358" s="22">
        <v>3800</v>
      </c>
      <c r="I358" s="22"/>
      <c r="J358" t="s">
        <v>48</v>
      </c>
      <c r="L358" s="26" t="b">
        <f ca="1">AND(الحركات[[#This Row],[مدفوع من شهر]]&lt;=VALUE(TEXT($A$2,"YYYYMM")),الحركات[[#This Row],[الحالة]]="")</f>
        <v>0</v>
      </c>
      <c r="M358" s="2" t="str">
        <f>الحركات[من صندوق]&amp;"/"&amp;الحركات[إلى صندوق]</f>
        <v>الراتب/مصاريف شهرية</v>
      </c>
      <c r="N358" s="2" t="str">
        <f>VLOOKUP(الحركات[من صندوق],Table1[],2,0)</f>
        <v>دخل</v>
      </c>
      <c r="O358" s="2" t="str">
        <f>VLOOKUP(الحركات[إلى صندوق],Table1[[الصندوق]:[نوعه]],2,0)</f>
        <v>صرف</v>
      </c>
    </row>
    <row r="359" spans="1:15" x14ac:dyDescent="0.3">
      <c r="A359">
        <v>201906</v>
      </c>
      <c r="B359" s="3"/>
      <c r="C359" t="s">
        <v>18</v>
      </c>
      <c r="D359" s="15">
        <f>VLOOKUP(الحركات[[#This Row],[من صندوق]],Table5[],5,0)</f>
        <v>225</v>
      </c>
      <c r="E359" t="s">
        <v>3</v>
      </c>
      <c r="F359" s="15">
        <f>VLOOKUP(الحركات[[#This Row],[إلى صندوق]],Table5[[الصندوق]:[الرصيد الفعلي]],5,0)</f>
        <v>2000</v>
      </c>
      <c r="G359" s="15">
        <f>IF(VLOOKUP(الحركات[إلى صندوق],Table1[],3,0)=0,VLOOKUP(الحركات[[#This Row],[من صندوق]],Table1[[الصندوق]:[القيمة الشهرية]],3,0),VLOOKUP(الحركات[إلى صندوق],Table1[],3,0))</f>
        <v>2000</v>
      </c>
      <c r="H359" s="22">
        <v>2000</v>
      </c>
      <c r="I359" s="22"/>
      <c r="J359" t="s">
        <v>49</v>
      </c>
      <c r="L359" s="26" t="b">
        <f ca="1">AND(الحركات[[#This Row],[مدفوع من شهر]]&lt;=VALUE(TEXT($A$2,"YYYYMM")),الحركات[[#This Row],[الحالة]]="")</f>
        <v>0</v>
      </c>
      <c r="M359" s="2" t="str">
        <f>الحركات[من صندوق]&amp;"/"&amp;الحركات[إلى صندوق]</f>
        <v>الراتب/مدارس</v>
      </c>
      <c r="N359" s="2" t="str">
        <f>VLOOKUP(الحركات[من صندوق],Table1[],2,0)</f>
        <v>دخل</v>
      </c>
      <c r="O359" s="2" t="str">
        <f>VLOOKUP(الحركات[إلى صندوق],Table1[[الصندوق]:[نوعه]],2,0)</f>
        <v>صرف</v>
      </c>
    </row>
    <row r="360" spans="1:15" x14ac:dyDescent="0.3">
      <c r="A360">
        <v>201906</v>
      </c>
      <c r="B360" s="3"/>
      <c r="C360" t="s">
        <v>18</v>
      </c>
      <c r="D360" s="15">
        <f>VLOOKUP(الحركات[[#This Row],[من صندوق]],Table5[],5,0)</f>
        <v>225</v>
      </c>
      <c r="E360" t="s">
        <v>21</v>
      </c>
      <c r="F360" s="15">
        <f>VLOOKUP(الحركات[[#This Row],[إلى صندوق]],Table5[[الصندوق]:[الرصيد الفعلي]],5,0)</f>
        <v>1500</v>
      </c>
      <c r="G360" s="15">
        <f>IF(VLOOKUP(الحركات[إلى صندوق],Table1[],3,0)=0,VLOOKUP(الحركات[[#This Row],[من صندوق]],Table1[[الصندوق]:[القيمة الشهرية]],3,0),VLOOKUP(الحركات[إلى صندوق],Table1[],3,0))</f>
        <v>1500</v>
      </c>
      <c r="H360" s="22">
        <v>1500</v>
      </c>
      <c r="I360" s="22"/>
      <c r="J360" t="s">
        <v>50</v>
      </c>
      <c r="L360" s="26" t="b">
        <f ca="1">AND(الحركات[[#This Row],[مدفوع من شهر]]&lt;=VALUE(TEXT($A$2,"YYYYMM")),الحركات[[#This Row],[الحالة]]="")</f>
        <v>0</v>
      </c>
      <c r="M360" s="2" t="str">
        <f>الحركات[من صندوق]&amp;"/"&amp;الحركات[إلى صندوق]</f>
        <v>الراتب/ايجار المنزل</v>
      </c>
      <c r="N360" s="2" t="str">
        <f>VLOOKUP(الحركات[من صندوق],Table1[],2,0)</f>
        <v>دخل</v>
      </c>
      <c r="O360" s="2" t="str">
        <f>VLOOKUP(الحركات[إلى صندوق],Table1[[الصندوق]:[نوعه]],2,0)</f>
        <v>صرف</v>
      </c>
    </row>
    <row r="361" spans="1:15" x14ac:dyDescent="0.3">
      <c r="A361">
        <v>201906</v>
      </c>
      <c r="B361" s="3"/>
      <c r="C361" t="s">
        <v>18</v>
      </c>
      <c r="D361" s="15">
        <f>VLOOKUP(الحركات[[#This Row],[من صندوق]],Table5[],5,0)</f>
        <v>225</v>
      </c>
      <c r="E361" t="s">
        <v>0</v>
      </c>
      <c r="F361" s="15">
        <f>VLOOKUP(الحركات[[#This Row],[إلى صندوق]],Table5[[الصندوق]:[الرصيد الفعلي]],5,0)</f>
        <v>0</v>
      </c>
      <c r="G361" s="15">
        <f>IF(VLOOKUP(الحركات[إلى صندوق],Table1[],3,0)=0,VLOOKUP(الحركات[[#This Row],[من صندوق]],Table1[[الصندوق]:[القيمة الشهرية]],3,0),VLOOKUP(الحركات[إلى صندوق],Table1[],3,0))</f>
        <v>500</v>
      </c>
      <c r="H361" s="22">
        <v>500</v>
      </c>
      <c r="I361" s="22"/>
      <c r="J361" t="s">
        <v>51</v>
      </c>
      <c r="L361" s="26" t="b">
        <f ca="1">AND(الحركات[[#This Row],[مدفوع من شهر]]&lt;=VALUE(TEXT($A$2,"YYYYMM")),الحركات[[#This Row],[الحالة]]="")</f>
        <v>0</v>
      </c>
      <c r="M361" s="2" t="str">
        <f>الحركات[من صندوق]&amp;"/"&amp;الحركات[إلى صندوق]</f>
        <v>الراتب/توفير</v>
      </c>
      <c r="N361" s="2" t="str">
        <f>VLOOKUP(الحركات[من صندوق],Table1[],2,0)</f>
        <v>دخل</v>
      </c>
      <c r="O361" s="2" t="str">
        <f>VLOOKUP(الحركات[إلى صندوق],Table1[[الصندوق]:[نوعه]],2,0)</f>
        <v>صرف</v>
      </c>
    </row>
    <row r="362" spans="1:15" x14ac:dyDescent="0.3">
      <c r="A362">
        <v>201906</v>
      </c>
      <c r="B362" s="3"/>
      <c r="C362" t="s">
        <v>18</v>
      </c>
      <c r="D362" s="15">
        <f>VLOOKUP(الحركات[[#This Row],[من صندوق]],Table5[],5,0)</f>
        <v>225</v>
      </c>
      <c r="E362" t="s">
        <v>12</v>
      </c>
      <c r="F362" s="15">
        <f>VLOOKUP(الحركات[[#This Row],[إلى صندوق]],Table5[[الصندوق]:[الرصيد الفعلي]],5,0)</f>
        <v>400</v>
      </c>
      <c r="G362" s="15">
        <f>IF(VLOOKUP(الحركات[إلى صندوق],Table1[],3,0)=0,VLOOKUP(الحركات[[#This Row],[من صندوق]],Table1[[الصندوق]:[القيمة الشهرية]],3,0),VLOOKUP(الحركات[إلى صندوق],Table1[],3,0))</f>
        <v>400</v>
      </c>
      <c r="H362" s="22">
        <v>400</v>
      </c>
      <c r="I362" s="22"/>
      <c r="J362" t="s">
        <v>52</v>
      </c>
      <c r="L362" s="26" t="b">
        <f ca="1">AND(الحركات[[#This Row],[مدفوع من شهر]]&lt;=VALUE(TEXT($A$2,"YYYYMM")),الحركات[[#This Row],[الحالة]]="")</f>
        <v>0</v>
      </c>
      <c r="M362" s="2" t="str">
        <f>الحركات[من صندوق]&amp;"/"&amp;الحركات[إلى صندوق]</f>
        <v>الراتب/اجازات</v>
      </c>
      <c r="N362" s="2" t="str">
        <f>VLOOKUP(الحركات[من صندوق],Table1[],2,0)</f>
        <v>دخل</v>
      </c>
      <c r="O362" s="2" t="str">
        <f>VLOOKUP(الحركات[إلى صندوق],Table1[[الصندوق]:[نوعه]],2,0)</f>
        <v>صرف</v>
      </c>
    </row>
    <row r="363" spans="1:15" x14ac:dyDescent="0.3">
      <c r="A363">
        <v>201906</v>
      </c>
      <c r="B363" s="3"/>
      <c r="C363" t="s">
        <v>18</v>
      </c>
      <c r="D363" s="15">
        <f>VLOOKUP(الحركات[[#This Row],[من صندوق]],Table5[],5,0)</f>
        <v>225</v>
      </c>
      <c r="E363" t="s">
        <v>9</v>
      </c>
      <c r="F363" s="15">
        <f>VLOOKUP(الحركات[[#This Row],[إلى صندوق]],Table5[[الصندوق]:[الرصيد الفعلي]],5,0)</f>
        <v>200</v>
      </c>
      <c r="G363" s="15">
        <f>IF(VLOOKUP(الحركات[إلى صندوق],Table1[],3,0)=0,VLOOKUP(الحركات[[#This Row],[من صندوق]],Table1[[الصندوق]:[القيمة الشهرية]],3,0),VLOOKUP(الحركات[إلى صندوق],Table1[],3,0))</f>
        <v>200</v>
      </c>
      <c r="H363" s="22">
        <v>200</v>
      </c>
      <c r="I363" s="22"/>
      <c r="J363" t="s">
        <v>53</v>
      </c>
      <c r="L363" s="26" t="b">
        <f ca="1">AND(الحركات[[#This Row],[مدفوع من شهر]]&lt;=VALUE(TEXT($A$2,"YYYYMM")),الحركات[[#This Row],[الحالة]]="")</f>
        <v>0</v>
      </c>
      <c r="M363" s="2" t="str">
        <f>الحركات[من صندوق]&amp;"/"&amp;الحركات[إلى صندوق]</f>
        <v>الراتب/دورات</v>
      </c>
      <c r="N363" s="2" t="str">
        <f>VLOOKUP(الحركات[من صندوق],Table1[],2,0)</f>
        <v>دخل</v>
      </c>
      <c r="O363" s="2" t="str">
        <f>VLOOKUP(الحركات[إلى صندوق],Table1[[الصندوق]:[نوعه]],2,0)</f>
        <v>صرف</v>
      </c>
    </row>
    <row r="364" spans="1:15" x14ac:dyDescent="0.3">
      <c r="A364">
        <v>201906</v>
      </c>
      <c r="B364" s="3"/>
      <c r="C364" t="s">
        <v>18</v>
      </c>
      <c r="D364" s="15">
        <f>VLOOKUP(الحركات[[#This Row],[من صندوق]],Table5[],5,0)</f>
        <v>225</v>
      </c>
      <c r="E364" t="s">
        <v>22</v>
      </c>
      <c r="F364" s="15">
        <f>VLOOKUP(الحركات[[#This Row],[إلى صندوق]],Table5[[الصندوق]:[الرصيد الفعلي]],5,0)</f>
        <v>200</v>
      </c>
      <c r="G364" s="15">
        <f>IF(VLOOKUP(الحركات[إلى صندوق],Table1[],3,0)=0,VLOOKUP(الحركات[[#This Row],[من صندوق]],Table1[[الصندوق]:[القيمة الشهرية]],3,0),VLOOKUP(الحركات[إلى صندوق],Table1[],3,0))</f>
        <v>200</v>
      </c>
      <c r="H364" s="22">
        <v>200</v>
      </c>
      <c r="I364" s="22"/>
      <c r="J364" t="s">
        <v>54</v>
      </c>
      <c r="L364" s="26" t="b">
        <f ca="1">AND(الحركات[[#This Row],[مدفوع من شهر]]&lt;=VALUE(TEXT($A$2,"YYYYMM")),الحركات[[#This Row],[الحالة]]="")</f>
        <v>0</v>
      </c>
      <c r="M364" s="2" t="str">
        <f>الحركات[من صندوق]&amp;"/"&amp;الحركات[إلى صندوق]</f>
        <v>الراتب/زكاة</v>
      </c>
      <c r="N364" s="2" t="str">
        <f>VLOOKUP(الحركات[من صندوق],Table1[],2,0)</f>
        <v>دخل</v>
      </c>
      <c r="O364" s="2" t="str">
        <f>VLOOKUP(الحركات[إلى صندوق],Table1[[الصندوق]:[نوعه]],2,0)</f>
        <v>صرف</v>
      </c>
    </row>
    <row r="365" spans="1:15" x14ac:dyDescent="0.3">
      <c r="A365">
        <v>201906</v>
      </c>
      <c r="B365" s="3"/>
      <c r="C365" t="s">
        <v>18</v>
      </c>
      <c r="D365" s="15">
        <f>VLOOKUP(الحركات[[#This Row],[من صندوق]],Table5[],5,0)</f>
        <v>225</v>
      </c>
      <c r="E365" t="s">
        <v>10</v>
      </c>
      <c r="F365" s="15">
        <f>VLOOKUP(الحركات[[#This Row],[إلى صندوق]],Table5[[الصندوق]:[الرصيد الفعلي]],5,0)</f>
        <v>250</v>
      </c>
      <c r="G365" s="15">
        <f>IF(VLOOKUP(الحركات[إلى صندوق],Table1[],3,0)=0,VLOOKUP(الحركات[[#This Row],[من صندوق]],Table1[[الصندوق]:[القيمة الشهرية]],3,0),VLOOKUP(الحركات[إلى صندوق],Table1[],3,0))</f>
        <v>250</v>
      </c>
      <c r="H365" s="22">
        <v>250</v>
      </c>
      <c r="I365" s="22"/>
      <c r="J365" t="s">
        <v>55</v>
      </c>
      <c r="L365" s="26" t="b">
        <f ca="1">AND(الحركات[[#This Row],[مدفوع من شهر]]&lt;=VALUE(TEXT($A$2,"YYYYMM")),الحركات[[#This Row],[الحالة]]="")</f>
        <v>0</v>
      </c>
      <c r="M365" s="2" t="str">
        <f>الحركات[من صندوق]&amp;"/"&amp;الحركات[إلى صندوق]</f>
        <v>الراتب/صيانة السيارة</v>
      </c>
      <c r="N365" s="2" t="str">
        <f>VLOOKUP(الحركات[من صندوق],Table1[],2,0)</f>
        <v>دخل</v>
      </c>
      <c r="O365" s="2" t="str">
        <f>VLOOKUP(الحركات[إلى صندوق],Table1[[الصندوق]:[نوعه]],2,0)</f>
        <v>صرف</v>
      </c>
    </row>
    <row r="366" spans="1:15" x14ac:dyDescent="0.3">
      <c r="A366">
        <v>201906</v>
      </c>
      <c r="B366" s="3"/>
      <c r="C366" t="s">
        <v>18</v>
      </c>
      <c r="D366" s="15">
        <f>VLOOKUP(الحركات[[#This Row],[من صندوق]],Table5[],5,0)</f>
        <v>225</v>
      </c>
      <c r="E366" t="s">
        <v>15</v>
      </c>
      <c r="F366" s="15">
        <f>VLOOKUP(الحركات[[#This Row],[إلى صندوق]],Table5[[الصندوق]:[الرصيد الفعلي]],5,0)</f>
        <v>0</v>
      </c>
      <c r="G366" s="15">
        <f>IF(VLOOKUP(الحركات[إلى صندوق],Table1[],3,0)=0,VLOOKUP(الحركات[[#This Row],[من صندوق]],Table1[[الصندوق]:[القيمة الشهرية]],3,0),VLOOKUP(الحركات[إلى صندوق],Table1[],3,0))</f>
        <v>285</v>
      </c>
      <c r="H366" s="22">
        <v>285</v>
      </c>
      <c r="I366" s="22"/>
      <c r="J366" t="s">
        <v>56</v>
      </c>
      <c r="L366" s="26" t="b">
        <f ca="1">AND(الحركات[[#This Row],[مدفوع من شهر]]&lt;=VALUE(TEXT($A$2,"YYYYMM")),الحركات[[#This Row],[الحالة]]="")</f>
        <v>0</v>
      </c>
      <c r="M366" s="2" t="str">
        <f>الحركات[من صندوق]&amp;"/"&amp;الحركات[إلى صندوق]</f>
        <v>الراتب/ملابس</v>
      </c>
      <c r="N366" s="2" t="str">
        <f>VLOOKUP(الحركات[من صندوق],Table1[],2,0)</f>
        <v>دخل</v>
      </c>
      <c r="O366" s="2" t="str">
        <f>VLOOKUP(الحركات[إلى صندوق],Table1[[الصندوق]:[نوعه]],2,0)</f>
        <v>صرف</v>
      </c>
    </row>
    <row r="367" spans="1:15" x14ac:dyDescent="0.3">
      <c r="A367">
        <v>201906</v>
      </c>
      <c r="B367" s="3"/>
      <c r="C367" t="s">
        <v>18</v>
      </c>
      <c r="D367" s="15">
        <f>VLOOKUP(الحركات[[#This Row],[من صندوق]],Table5[],5,0)</f>
        <v>225</v>
      </c>
      <c r="E367" t="s">
        <v>1</v>
      </c>
      <c r="F367" s="15">
        <f>VLOOKUP(الحركات[[#This Row],[إلى صندوق]],Table5[[الصندوق]:[الرصيد الفعلي]],5,0)</f>
        <v>0</v>
      </c>
      <c r="G367" s="15">
        <f>IF(VLOOKUP(الحركات[إلى صندوق],Table1[],3,0)=0,VLOOKUP(الحركات[[#This Row],[من صندوق]],Table1[[الصندوق]:[القيمة الشهرية]],3,0),VLOOKUP(الحركات[إلى صندوق],Table1[],3,0))</f>
        <v>190</v>
      </c>
      <c r="H367" s="22">
        <v>190</v>
      </c>
      <c r="I367" s="22"/>
      <c r="J367" t="s">
        <v>57</v>
      </c>
      <c r="L367" s="26" t="b">
        <f ca="1">AND(الحركات[[#This Row],[مدفوع من شهر]]&lt;=VALUE(TEXT($A$2,"YYYYMM")),الحركات[[#This Row],[الحالة]]="")</f>
        <v>0</v>
      </c>
      <c r="M367" s="2" t="str">
        <f>الحركات[من صندوق]&amp;"/"&amp;الحركات[إلى صندوق]</f>
        <v>الراتب/هدايا</v>
      </c>
      <c r="N367" s="2" t="str">
        <f>VLOOKUP(الحركات[من صندوق],Table1[],2,0)</f>
        <v>دخل</v>
      </c>
      <c r="O367" s="2" t="str">
        <f>VLOOKUP(الحركات[إلى صندوق],Table1[[الصندوق]:[نوعه]],2,0)</f>
        <v>صرف</v>
      </c>
    </row>
    <row r="368" spans="1:15" x14ac:dyDescent="0.3">
      <c r="A368">
        <v>201906</v>
      </c>
      <c r="B368" s="3"/>
      <c r="C368" t="s">
        <v>18</v>
      </c>
      <c r="D368" s="15">
        <f>VLOOKUP(الحركات[[#This Row],[من صندوق]],Table5[],5,0)</f>
        <v>225</v>
      </c>
      <c r="E368" t="s">
        <v>4</v>
      </c>
      <c r="F368" s="15">
        <f>VLOOKUP(الحركات[[#This Row],[إلى صندوق]],Table5[[الصندوق]:[الرصيد الفعلي]],5,0)</f>
        <v>200</v>
      </c>
      <c r="G368" s="15">
        <f>IF(VLOOKUP(الحركات[إلى صندوق],Table1[],3,0)=0,VLOOKUP(الحركات[[#This Row],[من صندوق]],Table1[[الصندوق]:[القيمة الشهرية]],3,0),VLOOKUP(الحركات[إلى صندوق],Table1[],3,0))</f>
        <v>200</v>
      </c>
      <c r="H368" s="22">
        <v>200</v>
      </c>
      <c r="I368" s="22"/>
      <c r="J368" t="s">
        <v>58</v>
      </c>
      <c r="L368" s="26" t="b">
        <f ca="1">AND(الحركات[[#This Row],[مدفوع من شهر]]&lt;=VALUE(TEXT($A$2,"YYYYMM")),الحركات[[#This Row],[الحالة]]="")</f>
        <v>0</v>
      </c>
      <c r="M368" s="2" t="str">
        <f>الحركات[من صندوق]&amp;"/"&amp;الحركات[إلى صندوق]</f>
        <v>الراتب/طوارئ</v>
      </c>
      <c r="N368" s="2" t="str">
        <f>VLOOKUP(الحركات[من صندوق],Table1[],2,0)</f>
        <v>دخل</v>
      </c>
      <c r="O368" s="2" t="str">
        <f>VLOOKUP(الحركات[إلى صندوق],Table1[[الصندوق]:[نوعه]],2,0)</f>
        <v>صرف</v>
      </c>
    </row>
    <row r="369" spans="1:15" x14ac:dyDescent="0.3">
      <c r="A369">
        <v>201906</v>
      </c>
      <c r="B369" s="3"/>
      <c r="C369" t="s">
        <v>11</v>
      </c>
      <c r="D369" s="15">
        <f>VLOOKUP(الحركات[[#This Row],[من صندوق]],Table5[],5,0)</f>
        <v>0</v>
      </c>
      <c r="E369" t="s">
        <v>14</v>
      </c>
      <c r="F369" s="15">
        <f>VLOOKUP(الحركات[[#This Row],[إلى صندوق]],Table5[[الصندوق]:[الرصيد الفعلي]],5,0)</f>
        <v>5025</v>
      </c>
      <c r="G369" s="15">
        <f>IF(VLOOKUP(الحركات[إلى صندوق],Table1[],3,0)=0,VLOOKUP(الحركات[[#This Row],[من صندوق]],Table1[[الصندوق]:[القيمة الشهرية]],3,0),VLOOKUP(الحركات[إلى صندوق],Table1[],3,0))</f>
        <v>250</v>
      </c>
      <c r="H369" s="22">
        <v>250</v>
      </c>
      <c r="I369" s="22"/>
      <c r="J369" t="s">
        <v>59</v>
      </c>
      <c r="L369" s="26" t="b">
        <f ca="1">AND(الحركات[[#This Row],[مدفوع من شهر]]&lt;=VALUE(TEXT($A$2,"YYYYMM")),الحركات[[#This Row],[الحالة]]="")</f>
        <v>0</v>
      </c>
      <c r="M369" s="2" t="str">
        <f>الحركات[من صندوق]&amp;"/"&amp;الحركات[إلى صندوق]</f>
        <v>فواتير/صرف</v>
      </c>
      <c r="N369" s="2" t="str">
        <f>VLOOKUP(الحركات[من صندوق],Table1[],2,0)</f>
        <v>صرف</v>
      </c>
      <c r="O369" s="2" t="str">
        <f>VLOOKUP(الحركات[إلى صندوق],Table1[[الصندوق]:[نوعه]],2,0)</f>
        <v>خارجي</v>
      </c>
    </row>
    <row r="370" spans="1:15" x14ac:dyDescent="0.3">
      <c r="A370">
        <v>201906</v>
      </c>
      <c r="B370" s="3"/>
      <c r="C370" t="s">
        <v>13</v>
      </c>
      <c r="D370" s="15">
        <f>VLOOKUP(الحركات[[#This Row],[من صندوق]],Table5[],5,0)</f>
        <v>0</v>
      </c>
      <c r="E370" t="s">
        <v>14</v>
      </c>
      <c r="F370" s="15">
        <f>VLOOKUP(الحركات[[#This Row],[إلى صندوق]],Table5[[الصندوق]:[الرصيد الفعلي]],5,0)</f>
        <v>5025</v>
      </c>
      <c r="G370" s="15">
        <f>IF(VLOOKUP(الحركات[إلى صندوق],Table1[],3,0)=0,VLOOKUP(الحركات[[#This Row],[من صندوق]],Table1[[الصندوق]:[القيمة الشهرية]],3,0),VLOOKUP(الحركات[إلى صندوق],Table1[],3,0))</f>
        <v>3800</v>
      </c>
      <c r="H370" s="22">
        <v>3800</v>
      </c>
      <c r="I370" s="22"/>
      <c r="J370" t="s">
        <v>60</v>
      </c>
      <c r="L370" s="26" t="b">
        <f ca="1">AND(الحركات[[#This Row],[مدفوع من شهر]]&lt;=VALUE(TEXT($A$2,"YYYYMM")),الحركات[[#This Row],[الحالة]]="")</f>
        <v>0</v>
      </c>
      <c r="M370" s="2" t="str">
        <f>الحركات[من صندوق]&amp;"/"&amp;الحركات[إلى صندوق]</f>
        <v>مصاريف شهرية/صرف</v>
      </c>
      <c r="N370" s="2" t="str">
        <f>VLOOKUP(الحركات[من صندوق],Table1[],2,0)</f>
        <v>صرف</v>
      </c>
      <c r="O370" s="2" t="str">
        <f>VLOOKUP(الحركات[إلى صندوق],Table1[[الصندوق]:[نوعه]],2,0)</f>
        <v>خارجي</v>
      </c>
    </row>
    <row r="371" spans="1:15" x14ac:dyDescent="0.3">
      <c r="A371">
        <v>201906</v>
      </c>
      <c r="B371" s="3"/>
      <c r="C371" t="s">
        <v>0</v>
      </c>
      <c r="D371" s="15">
        <f>VLOOKUP(الحركات[[#This Row],[من صندوق]],Table5[],5,0)</f>
        <v>0</v>
      </c>
      <c r="E371" t="s">
        <v>14</v>
      </c>
      <c r="F371" s="15">
        <f>VLOOKUP(الحركات[[#This Row],[إلى صندوق]],Table5[[الصندوق]:[الرصيد الفعلي]],5,0)</f>
        <v>5025</v>
      </c>
      <c r="G371" s="15">
        <f>IF(VLOOKUP(الحركات[إلى صندوق],Table1[],3,0)=0,VLOOKUP(الحركات[[#This Row],[من صندوق]],Table1[[الصندوق]:[القيمة الشهرية]],3,0),VLOOKUP(الحركات[إلى صندوق],Table1[],3,0))</f>
        <v>500</v>
      </c>
      <c r="H371" s="22">
        <v>500</v>
      </c>
      <c r="I371" s="22"/>
      <c r="J371" t="s">
        <v>66</v>
      </c>
      <c r="L371" s="26" t="b">
        <f ca="1">AND(الحركات[[#This Row],[مدفوع من شهر]]&lt;=VALUE(TEXT($A$2,"YYYYMM")),الحركات[[#This Row],[الحالة]]="")</f>
        <v>0</v>
      </c>
      <c r="M371" s="2" t="str">
        <f>الحركات[من صندوق]&amp;"/"&amp;الحركات[إلى صندوق]</f>
        <v>توفير/صرف</v>
      </c>
      <c r="N371" s="2" t="str">
        <f>VLOOKUP(الحركات[من صندوق],Table1[],2,0)</f>
        <v>صرف</v>
      </c>
      <c r="O371" s="2" t="str">
        <f>VLOOKUP(الحركات[إلى صندوق],Table1[[الصندوق]:[نوعه]],2,0)</f>
        <v>خارجي</v>
      </c>
    </row>
    <row r="372" spans="1:15" x14ac:dyDescent="0.3">
      <c r="A372">
        <v>201906</v>
      </c>
      <c r="B372" s="3"/>
      <c r="C372" t="s">
        <v>10</v>
      </c>
      <c r="D372" s="15">
        <f>VLOOKUP(الحركات[[#This Row],[من صندوق]],Table5[],5,0)</f>
        <v>250</v>
      </c>
      <c r="E372" t="s">
        <v>14</v>
      </c>
      <c r="F372" s="15">
        <f>VLOOKUP(الحركات[[#This Row],[إلى صندوق]],Table5[[الصندوق]:[الرصيد الفعلي]],5,0)</f>
        <v>5025</v>
      </c>
      <c r="G372" s="15">
        <f>IF(VLOOKUP(الحركات[إلى صندوق],Table1[],3,0)=0,VLOOKUP(الحركات[[#This Row],[من صندوق]],Table1[[الصندوق]:[القيمة الشهرية]],3,0),VLOOKUP(الحركات[إلى صندوق],Table1[],3,0))</f>
        <v>250</v>
      </c>
      <c r="H372" s="22">
        <v>1500</v>
      </c>
      <c r="I372" s="22"/>
      <c r="J372" t="s">
        <v>70</v>
      </c>
      <c r="L372" s="26" t="b">
        <f ca="1">AND(الحركات[[#This Row],[مدفوع من شهر]]&lt;=VALUE(TEXT($A$2,"YYYYMM")),الحركات[[#This Row],[الحالة]]="")</f>
        <v>0</v>
      </c>
      <c r="M372" s="2" t="str">
        <f>الحركات[من صندوق]&amp;"/"&amp;الحركات[إلى صندوق]</f>
        <v>صيانة السيارة/صرف</v>
      </c>
      <c r="N372" s="2" t="str">
        <f>VLOOKUP(الحركات[من صندوق],Table1[],2,0)</f>
        <v>صرف</v>
      </c>
      <c r="O372" s="2" t="str">
        <f>VLOOKUP(الحركات[إلى صندوق],Table1[[الصندوق]:[نوعه]],2,0)</f>
        <v>خارجي</v>
      </c>
    </row>
    <row r="373" spans="1:15" x14ac:dyDescent="0.3">
      <c r="A373">
        <v>201906</v>
      </c>
      <c r="B373" s="3"/>
      <c r="C373" t="s">
        <v>15</v>
      </c>
      <c r="D373" s="15">
        <f>VLOOKUP(الحركات[[#This Row],[من صندوق]],Table5[],5,0)</f>
        <v>0</v>
      </c>
      <c r="E373" t="s">
        <v>14</v>
      </c>
      <c r="F373" s="15">
        <f>VLOOKUP(الحركات[[#This Row],[إلى صندوق]],Table5[[الصندوق]:[الرصيد الفعلي]],5,0)</f>
        <v>5025</v>
      </c>
      <c r="G373" s="15">
        <f>IF(VLOOKUP(الحركات[إلى صندوق],Table1[],3,0)=0,VLOOKUP(الحركات[[#This Row],[من صندوق]],Table1[[الصندوق]:[القيمة الشهرية]],3,0),VLOOKUP(الحركات[إلى صندوق],Table1[],3,0))</f>
        <v>285</v>
      </c>
      <c r="H373" s="22">
        <v>285</v>
      </c>
      <c r="I373" s="22"/>
      <c r="J373" t="s">
        <v>71</v>
      </c>
      <c r="L373" s="26" t="b">
        <f ca="1">AND(الحركات[[#This Row],[مدفوع من شهر]]&lt;=VALUE(TEXT($A$2,"YYYYMM")),الحركات[[#This Row],[الحالة]]="")</f>
        <v>0</v>
      </c>
      <c r="M373" s="2" t="str">
        <f>الحركات[من صندوق]&amp;"/"&amp;الحركات[إلى صندوق]</f>
        <v>ملابس/صرف</v>
      </c>
      <c r="N373" s="2" t="str">
        <f>VLOOKUP(الحركات[من صندوق],Table1[],2,0)</f>
        <v>صرف</v>
      </c>
      <c r="O373" s="2" t="str">
        <f>VLOOKUP(الحركات[إلى صندوق],Table1[[الصندوق]:[نوعه]],2,0)</f>
        <v>خارجي</v>
      </c>
    </row>
    <row r="374" spans="1:15" x14ac:dyDescent="0.3">
      <c r="A374">
        <v>201906</v>
      </c>
      <c r="B374" s="3"/>
      <c r="C374" t="s">
        <v>1</v>
      </c>
      <c r="D374" s="15">
        <f>VLOOKUP(الحركات[[#This Row],[من صندوق]],Table5[],5,0)</f>
        <v>0</v>
      </c>
      <c r="E374" t="s">
        <v>14</v>
      </c>
      <c r="F374" s="15">
        <f>VLOOKUP(الحركات[[#This Row],[إلى صندوق]],Table5[[الصندوق]:[الرصيد الفعلي]],5,0)</f>
        <v>5025</v>
      </c>
      <c r="G374" s="15">
        <f>IF(VLOOKUP(الحركات[إلى صندوق],Table1[],3,0)=0,VLOOKUP(الحركات[[#This Row],[من صندوق]],Table1[[الصندوق]:[القيمة الشهرية]],3,0),VLOOKUP(الحركات[إلى صندوق],Table1[],3,0))</f>
        <v>190</v>
      </c>
      <c r="H374" s="22">
        <v>190</v>
      </c>
      <c r="I374" s="22"/>
      <c r="J374" t="s">
        <v>72</v>
      </c>
      <c r="L374" s="26" t="b">
        <f ca="1">AND(الحركات[[#This Row],[مدفوع من شهر]]&lt;=VALUE(TEXT($A$2,"YYYYMM")),الحركات[[#This Row],[الحالة]]="")</f>
        <v>0</v>
      </c>
      <c r="M374" s="2" t="str">
        <f>الحركات[من صندوق]&amp;"/"&amp;الحركات[إلى صندوق]</f>
        <v>هدايا/صرف</v>
      </c>
      <c r="N374" s="2" t="str">
        <f>VLOOKUP(الحركات[من صندوق],Table1[],2,0)</f>
        <v>صرف</v>
      </c>
      <c r="O374" s="2" t="str">
        <f>VLOOKUP(الحركات[إلى صندوق],Table1[[الصندوق]:[نوعه]],2,0)</f>
        <v>خارجي</v>
      </c>
    </row>
    <row r="375" spans="1:15" x14ac:dyDescent="0.3">
      <c r="A375">
        <v>201906</v>
      </c>
      <c r="B375" s="3"/>
      <c r="C375" t="s">
        <v>4</v>
      </c>
      <c r="D375" s="15">
        <f>VLOOKUP(الحركات[[#This Row],[من صندوق]],Table5[],5,0)</f>
        <v>200</v>
      </c>
      <c r="E375" t="s">
        <v>14</v>
      </c>
      <c r="F375" s="15">
        <f>VLOOKUP(الحركات[[#This Row],[إلى صندوق]],Table5[[الصندوق]:[الرصيد الفعلي]],5,0)</f>
        <v>5025</v>
      </c>
      <c r="G375" s="15">
        <f>IF(VLOOKUP(الحركات[إلى صندوق],Table1[],3,0)=0,VLOOKUP(الحركات[[#This Row],[من صندوق]],Table1[[الصندوق]:[القيمة الشهرية]],3,0),VLOOKUP(الحركات[إلى صندوق],Table1[],3,0))</f>
        <v>200</v>
      </c>
      <c r="H375" s="22">
        <v>1200</v>
      </c>
      <c r="I375" s="22"/>
      <c r="J375" t="s">
        <v>73</v>
      </c>
      <c r="L375" s="26" t="b">
        <f ca="1">AND(الحركات[[#This Row],[مدفوع من شهر]]&lt;=VALUE(TEXT($A$2,"YYYYMM")),الحركات[[#This Row],[الحالة]]="")</f>
        <v>0</v>
      </c>
      <c r="M375" s="2" t="str">
        <f>الحركات[من صندوق]&amp;"/"&amp;الحركات[إلى صندوق]</f>
        <v>طوارئ/صرف</v>
      </c>
      <c r="N375" s="2" t="str">
        <f>VLOOKUP(الحركات[من صندوق],Table1[],2,0)</f>
        <v>صرف</v>
      </c>
      <c r="O375" s="2" t="str">
        <f>VLOOKUP(الحركات[إلى صندوق],Table1[[الصندوق]:[نوعه]],2,0)</f>
        <v>خارجي</v>
      </c>
    </row>
    <row r="376" spans="1:15" x14ac:dyDescent="0.3">
      <c r="A376">
        <v>201907</v>
      </c>
      <c r="B376" s="3"/>
      <c r="C376" t="s">
        <v>20</v>
      </c>
      <c r="D376" s="15">
        <f>VLOOKUP(الحركات[[#This Row],[من صندوق]],Table5[],5,0)</f>
        <v>-10000</v>
      </c>
      <c r="E376" t="s">
        <v>18</v>
      </c>
      <c r="F376" s="15">
        <f>VLOOKUP(الحركات[[#This Row],[إلى صندوق]],Table5[[الصندوق]:[الرصيد الفعلي]],5,0)</f>
        <v>225</v>
      </c>
      <c r="G376" s="15">
        <f>IF(VLOOKUP(الحركات[إلى صندوق],Table1[],3,0)=0,VLOOKUP(الحركات[[#This Row],[من صندوق]],Table1[[الصندوق]:[القيمة الشهرية]],3,0),VLOOKUP(الحركات[إلى صندوق],Table1[],3,0))</f>
        <v>10000</v>
      </c>
      <c r="H376" s="22">
        <v>10000</v>
      </c>
      <c r="I376" s="22"/>
      <c r="J376" t="s">
        <v>40</v>
      </c>
      <c r="L376" s="26" t="b">
        <f ca="1">AND(الحركات[[#This Row],[مدفوع من شهر]]&lt;=VALUE(TEXT($A$2,"YYYYMM")),الحركات[[#This Row],[الحالة]]="")</f>
        <v>0</v>
      </c>
      <c r="M376" s="2" t="str">
        <f>الحركات[من صندوق]&amp;"/"&amp;الحركات[إلى صندوق]</f>
        <v>الشركة/الراتب</v>
      </c>
      <c r="N376" s="2" t="str">
        <f>VLOOKUP(الحركات[من صندوق],Table1[],2,0)</f>
        <v>خارجي</v>
      </c>
      <c r="O376" s="2" t="str">
        <f>VLOOKUP(الحركات[إلى صندوق],Table1[[الصندوق]:[نوعه]],2,0)</f>
        <v>دخل</v>
      </c>
    </row>
    <row r="377" spans="1:15" x14ac:dyDescent="0.3">
      <c r="A377">
        <v>201907</v>
      </c>
      <c r="B377" s="3"/>
      <c r="C377" t="s">
        <v>18</v>
      </c>
      <c r="D377" s="15">
        <f>VLOOKUP(الحركات[[#This Row],[من صندوق]],Table5[],5,0)</f>
        <v>225</v>
      </c>
      <c r="E377" t="s">
        <v>11</v>
      </c>
      <c r="F377" s="15">
        <f>VLOOKUP(الحركات[[#This Row],[إلى صندوق]],Table5[[الصندوق]:[الرصيد الفعلي]],5,0)</f>
        <v>0</v>
      </c>
      <c r="G377" s="15">
        <f>IF(VLOOKUP(الحركات[إلى صندوق],Table1[],3,0)=0,VLOOKUP(الحركات[[#This Row],[من صندوق]],Table1[[الصندوق]:[القيمة الشهرية]],3,0),VLOOKUP(الحركات[إلى صندوق],Table1[],3,0))</f>
        <v>250</v>
      </c>
      <c r="H377" s="22">
        <v>250</v>
      </c>
      <c r="I377" s="22"/>
      <c r="J377" t="s">
        <v>47</v>
      </c>
      <c r="L377" s="26" t="b">
        <f ca="1">AND(الحركات[[#This Row],[مدفوع من شهر]]&lt;=VALUE(TEXT($A$2,"YYYYMM")),الحركات[[#This Row],[الحالة]]="")</f>
        <v>0</v>
      </c>
      <c r="M377" s="2" t="str">
        <f>الحركات[من صندوق]&amp;"/"&amp;الحركات[إلى صندوق]</f>
        <v>الراتب/فواتير</v>
      </c>
      <c r="N377" s="2" t="str">
        <f>VLOOKUP(الحركات[من صندوق],Table1[],2,0)</f>
        <v>دخل</v>
      </c>
      <c r="O377" s="2" t="str">
        <f>VLOOKUP(الحركات[إلى صندوق],Table1[[الصندوق]:[نوعه]],2,0)</f>
        <v>صرف</v>
      </c>
    </row>
    <row r="378" spans="1:15" x14ac:dyDescent="0.3">
      <c r="A378">
        <v>201907</v>
      </c>
      <c r="B378" s="3"/>
      <c r="C378" t="s">
        <v>18</v>
      </c>
      <c r="D378" s="15">
        <f>VLOOKUP(الحركات[[#This Row],[من صندوق]],Table5[],5,0)</f>
        <v>225</v>
      </c>
      <c r="E378" t="s">
        <v>13</v>
      </c>
      <c r="F378" s="15">
        <f>VLOOKUP(الحركات[[#This Row],[إلى صندوق]],Table5[[الصندوق]:[الرصيد الفعلي]],5,0)</f>
        <v>0</v>
      </c>
      <c r="G378" s="15">
        <f>IF(VLOOKUP(الحركات[إلى صندوق],Table1[],3,0)=0,VLOOKUP(الحركات[[#This Row],[من صندوق]],Table1[[الصندوق]:[القيمة الشهرية]],3,0),VLOOKUP(الحركات[إلى صندوق],Table1[],3,0))</f>
        <v>3800</v>
      </c>
      <c r="H378" s="22">
        <v>3800</v>
      </c>
      <c r="I378" s="22"/>
      <c r="J378" t="s">
        <v>48</v>
      </c>
      <c r="L378" s="26" t="b">
        <f ca="1">AND(الحركات[[#This Row],[مدفوع من شهر]]&lt;=VALUE(TEXT($A$2,"YYYYMM")),الحركات[[#This Row],[الحالة]]="")</f>
        <v>0</v>
      </c>
      <c r="M378" s="2" t="str">
        <f>الحركات[من صندوق]&amp;"/"&amp;الحركات[إلى صندوق]</f>
        <v>الراتب/مصاريف شهرية</v>
      </c>
      <c r="N378" s="2" t="str">
        <f>VLOOKUP(الحركات[من صندوق],Table1[],2,0)</f>
        <v>دخل</v>
      </c>
      <c r="O378" s="2" t="str">
        <f>VLOOKUP(الحركات[إلى صندوق],Table1[[الصندوق]:[نوعه]],2,0)</f>
        <v>صرف</v>
      </c>
    </row>
    <row r="379" spans="1:15" x14ac:dyDescent="0.3">
      <c r="A379">
        <v>201907</v>
      </c>
      <c r="B379" s="3"/>
      <c r="C379" t="s">
        <v>18</v>
      </c>
      <c r="D379" s="15">
        <f>VLOOKUP(الحركات[[#This Row],[من صندوق]],Table5[],5,0)</f>
        <v>225</v>
      </c>
      <c r="E379" t="s">
        <v>3</v>
      </c>
      <c r="F379" s="15">
        <f>VLOOKUP(الحركات[[#This Row],[إلى صندوق]],Table5[[الصندوق]:[الرصيد الفعلي]],5,0)</f>
        <v>2000</v>
      </c>
      <c r="G379" s="15">
        <f>IF(VLOOKUP(الحركات[إلى صندوق],Table1[],3,0)=0,VLOOKUP(الحركات[[#This Row],[من صندوق]],Table1[[الصندوق]:[القيمة الشهرية]],3,0),VLOOKUP(الحركات[إلى صندوق],Table1[],3,0))</f>
        <v>2000</v>
      </c>
      <c r="H379" s="22">
        <v>2000</v>
      </c>
      <c r="I379" s="22"/>
      <c r="J379" t="s">
        <v>49</v>
      </c>
      <c r="L379" s="26" t="b">
        <f ca="1">AND(الحركات[[#This Row],[مدفوع من شهر]]&lt;=VALUE(TEXT($A$2,"YYYYMM")),الحركات[[#This Row],[الحالة]]="")</f>
        <v>0</v>
      </c>
      <c r="M379" s="2" t="str">
        <f>الحركات[من صندوق]&amp;"/"&amp;الحركات[إلى صندوق]</f>
        <v>الراتب/مدارس</v>
      </c>
      <c r="N379" s="2" t="str">
        <f>VLOOKUP(الحركات[من صندوق],Table1[],2,0)</f>
        <v>دخل</v>
      </c>
      <c r="O379" s="2" t="str">
        <f>VLOOKUP(الحركات[إلى صندوق],Table1[[الصندوق]:[نوعه]],2,0)</f>
        <v>صرف</v>
      </c>
    </row>
    <row r="380" spans="1:15" x14ac:dyDescent="0.3">
      <c r="A380">
        <v>201907</v>
      </c>
      <c r="B380" s="3"/>
      <c r="C380" t="s">
        <v>18</v>
      </c>
      <c r="D380" s="15">
        <f>VLOOKUP(الحركات[[#This Row],[من صندوق]],Table5[],5,0)</f>
        <v>225</v>
      </c>
      <c r="E380" t="s">
        <v>21</v>
      </c>
      <c r="F380" s="15">
        <f>VLOOKUP(الحركات[[#This Row],[إلى صندوق]],Table5[[الصندوق]:[الرصيد الفعلي]],5,0)</f>
        <v>1500</v>
      </c>
      <c r="G380" s="15">
        <f>IF(VLOOKUP(الحركات[إلى صندوق],Table1[],3,0)=0,VLOOKUP(الحركات[[#This Row],[من صندوق]],Table1[[الصندوق]:[القيمة الشهرية]],3,0),VLOOKUP(الحركات[إلى صندوق],Table1[],3,0))</f>
        <v>1500</v>
      </c>
      <c r="H380" s="22">
        <v>1500</v>
      </c>
      <c r="I380" s="22"/>
      <c r="J380" t="s">
        <v>50</v>
      </c>
      <c r="L380" s="26" t="b">
        <f ca="1">AND(الحركات[[#This Row],[مدفوع من شهر]]&lt;=VALUE(TEXT($A$2,"YYYYMM")),الحركات[[#This Row],[الحالة]]="")</f>
        <v>0</v>
      </c>
      <c r="M380" s="2" t="str">
        <f>الحركات[من صندوق]&amp;"/"&amp;الحركات[إلى صندوق]</f>
        <v>الراتب/ايجار المنزل</v>
      </c>
      <c r="N380" s="2" t="str">
        <f>VLOOKUP(الحركات[من صندوق],Table1[],2,0)</f>
        <v>دخل</v>
      </c>
      <c r="O380" s="2" t="str">
        <f>VLOOKUP(الحركات[إلى صندوق],Table1[[الصندوق]:[نوعه]],2,0)</f>
        <v>صرف</v>
      </c>
    </row>
    <row r="381" spans="1:15" x14ac:dyDescent="0.3">
      <c r="A381">
        <v>201907</v>
      </c>
      <c r="B381" s="3"/>
      <c r="C381" t="s">
        <v>18</v>
      </c>
      <c r="D381" s="15">
        <f>VLOOKUP(الحركات[[#This Row],[من صندوق]],Table5[],5,0)</f>
        <v>225</v>
      </c>
      <c r="E381" t="s">
        <v>0</v>
      </c>
      <c r="F381" s="15">
        <f>VLOOKUP(الحركات[[#This Row],[إلى صندوق]],Table5[[الصندوق]:[الرصيد الفعلي]],5,0)</f>
        <v>0</v>
      </c>
      <c r="G381" s="15">
        <f>IF(VLOOKUP(الحركات[إلى صندوق],Table1[],3,0)=0,VLOOKUP(الحركات[[#This Row],[من صندوق]],Table1[[الصندوق]:[القيمة الشهرية]],3,0),VLOOKUP(الحركات[إلى صندوق],Table1[],3,0))</f>
        <v>500</v>
      </c>
      <c r="H381" s="22">
        <v>500</v>
      </c>
      <c r="I381" s="22"/>
      <c r="J381" t="s">
        <v>51</v>
      </c>
      <c r="L381" s="26" t="b">
        <f ca="1">AND(الحركات[[#This Row],[مدفوع من شهر]]&lt;=VALUE(TEXT($A$2,"YYYYMM")),الحركات[[#This Row],[الحالة]]="")</f>
        <v>0</v>
      </c>
      <c r="M381" s="2" t="str">
        <f>الحركات[من صندوق]&amp;"/"&amp;الحركات[إلى صندوق]</f>
        <v>الراتب/توفير</v>
      </c>
      <c r="N381" s="2" t="str">
        <f>VLOOKUP(الحركات[من صندوق],Table1[],2,0)</f>
        <v>دخل</v>
      </c>
      <c r="O381" s="2" t="str">
        <f>VLOOKUP(الحركات[إلى صندوق],Table1[[الصندوق]:[نوعه]],2,0)</f>
        <v>صرف</v>
      </c>
    </row>
    <row r="382" spans="1:15" x14ac:dyDescent="0.3">
      <c r="A382">
        <v>201907</v>
      </c>
      <c r="B382" s="3"/>
      <c r="C382" t="s">
        <v>18</v>
      </c>
      <c r="D382" s="15">
        <f>VLOOKUP(الحركات[[#This Row],[من صندوق]],Table5[],5,0)</f>
        <v>225</v>
      </c>
      <c r="E382" t="s">
        <v>12</v>
      </c>
      <c r="F382" s="15">
        <f>VLOOKUP(الحركات[[#This Row],[إلى صندوق]],Table5[[الصندوق]:[الرصيد الفعلي]],5,0)</f>
        <v>400</v>
      </c>
      <c r="G382" s="15">
        <f>IF(VLOOKUP(الحركات[إلى صندوق],Table1[],3,0)=0,VLOOKUP(الحركات[[#This Row],[من صندوق]],Table1[[الصندوق]:[القيمة الشهرية]],3,0),VLOOKUP(الحركات[إلى صندوق],Table1[],3,0))</f>
        <v>400</v>
      </c>
      <c r="H382" s="22">
        <v>400</v>
      </c>
      <c r="I382" s="22"/>
      <c r="J382" t="s">
        <v>52</v>
      </c>
      <c r="L382" s="26" t="b">
        <f ca="1">AND(الحركات[[#This Row],[مدفوع من شهر]]&lt;=VALUE(TEXT($A$2,"YYYYMM")),الحركات[[#This Row],[الحالة]]="")</f>
        <v>0</v>
      </c>
      <c r="M382" s="2" t="str">
        <f>الحركات[من صندوق]&amp;"/"&amp;الحركات[إلى صندوق]</f>
        <v>الراتب/اجازات</v>
      </c>
      <c r="N382" s="2" t="str">
        <f>VLOOKUP(الحركات[من صندوق],Table1[],2,0)</f>
        <v>دخل</v>
      </c>
      <c r="O382" s="2" t="str">
        <f>VLOOKUP(الحركات[إلى صندوق],Table1[[الصندوق]:[نوعه]],2,0)</f>
        <v>صرف</v>
      </c>
    </row>
    <row r="383" spans="1:15" x14ac:dyDescent="0.3">
      <c r="A383">
        <v>201907</v>
      </c>
      <c r="B383" s="3"/>
      <c r="C383" t="s">
        <v>18</v>
      </c>
      <c r="D383" s="15">
        <f>VLOOKUP(الحركات[[#This Row],[من صندوق]],Table5[],5,0)</f>
        <v>225</v>
      </c>
      <c r="E383" t="s">
        <v>9</v>
      </c>
      <c r="F383" s="15">
        <f>VLOOKUP(الحركات[[#This Row],[إلى صندوق]],Table5[[الصندوق]:[الرصيد الفعلي]],5,0)</f>
        <v>200</v>
      </c>
      <c r="G383" s="15">
        <f>IF(VLOOKUP(الحركات[إلى صندوق],Table1[],3,0)=0,VLOOKUP(الحركات[[#This Row],[من صندوق]],Table1[[الصندوق]:[القيمة الشهرية]],3,0),VLOOKUP(الحركات[إلى صندوق],Table1[],3,0))</f>
        <v>200</v>
      </c>
      <c r="H383" s="22">
        <v>200</v>
      </c>
      <c r="I383" s="22"/>
      <c r="J383" t="s">
        <v>53</v>
      </c>
      <c r="L383" s="26" t="b">
        <f ca="1">AND(الحركات[[#This Row],[مدفوع من شهر]]&lt;=VALUE(TEXT($A$2,"YYYYMM")),الحركات[[#This Row],[الحالة]]="")</f>
        <v>0</v>
      </c>
      <c r="M383" s="2" t="str">
        <f>الحركات[من صندوق]&amp;"/"&amp;الحركات[إلى صندوق]</f>
        <v>الراتب/دورات</v>
      </c>
      <c r="N383" s="2" t="str">
        <f>VLOOKUP(الحركات[من صندوق],Table1[],2,0)</f>
        <v>دخل</v>
      </c>
      <c r="O383" s="2" t="str">
        <f>VLOOKUP(الحركات[إلى صندوق],Table1[[الصندوق]:[نوعه]],2,0)</f>
        <v>صرف</v>
      </c>
    </row>
    <row r="384" spans="1:15" x14ac:dyDescent="0.3">
      <c r="A384">
        <v>201907</v>
      </c>
      <c r="B384" s="3"/>
      <c r="C384" t="s">
        <v>18</v>
      </c>
      <c r="D384" s="15">
        <f>VLOOKUP(الحركات[[#This Row],[من صندوق]],Table5[],5,0)</f>
        <v>225</v>
      </c>
      <c r="E384" t="s">
        <v>22</v>
      </c>
      <c r="F384" s="15">
        <f>VLOOKUP(الحركات[[#This Row],[إلى صندوق]],Table5[[الصندوق]:[الرصيد الفعلي]],5,0)</f>
        <v>200</v>
      </c>
      <c r="G384" s="15">
        <f>IF(VLOOKUP(الحركات[إلى صندوق],Table1[],3,0)=0,VLOOKUP(الحركات[[#This Row],[من صندوق]],Table1[[الصندوق]:[القيمة الشهرية]],3,0),VLOOKUP(الحركات[إلى صندوق],Table1[],3,0))</f>
        <v>200</v>
      </c>
      <c r="H384" s="22">
        <v>200</v>
      </c>
      <c r="I384" s="22"/>
      <c r="J384" t="s">
        <v>54</v>
      </c>
      <c r="L384" s="26" t="b">
        <f ca="1">AND(الحركات[[#This Row],[مدفوع من شهر]]&lt;=VALUE(TEXT($A$2,"YYYYMM")),الحركات[[#This Row],[الحالة]]="")</f>
        <v>0</v>
      </c>
      <c r="M384" s="2" t="str">
        <f>الحركات[من صندوق]&amp;"/"&amp;الحركات[إلى صندوق]</f>
        <v>الراتب/زكاة</v>
      </c>
      <c r="N384" s="2" t="str">
        <f>VLOOKUP(الحركات[من صندوق],Table1[],2,0)</f>
        <v>دخل</v>
      </c>
      <c r="O384" s="2" t="str">
        <f>VLOOKUP(الحركات[إلى صندوق],Table1[[الصندوق]:[نوعه]],2,0)</f>
        <v>صرف</v>
      </c>
    </row>
    <row r="385" spans="1:15" x14ac:dyDescent="0.3">
      <c r="A385">
        <v>201907</v>
      </c>
      <c r="B385" s="3"/>
      <c r="C385" t="s">
        <v>18</v>
      </c>
      <c r="D385" s="15">
        <f>VLOOKUP(الحركات[[#This Row],[من صندوق]],Table5[],5,0)</f>
        <v>225</v>
      </c>
      <c r="E385" t="s">
        <v>10</v>
      </c>
      <c r="F385" s="15">
        <f>VLOOKUP(الحركات[[#This Row],[إلى صندوق]],Table5[[الصندوق]:[الرصيد الفعلي]],5,0)</f>
        <v>250</v>
      </c>
      <c r="G385" s="15">
        <f>IF(VLOOKUP(الحركات[إلى صندوق],Table1[],3,0)=0,VLOOKUP(الحركات[[#This Row],[من صندوق]],Table1[[الصندوق]:[القيمة الشهرية]],3,0),VLOOKUP(الحركات[إلى صندوق],Table1[],3,0))</f>
        <v>250</v>
      </c>
      <c r="H385" s="22">
        <v>250</v>
      </c>
      <c r="I385" s="22"/>
      <c r="J385" t="s">
        <v>55</v>
      </c>
      <c r="L385" s="26" t="b">
        <f ca="1">AND(الحركات[[#This Row],[مدفوع من شهر]]&lt;=VALUE(TEXT($A$2,"YYYYMM")),الحركات[[#This Row],[الحالة]]="")</f>
        <v>0</v>
      </c>
      <c r="M385" s="2" t="str">
        <f>الحركات[من صندوق]&amp;"/"&amp;الحركات[إلى صندوق]</f>
        <v>الراتب/صيانة السيارة</v>
      </c>
      <c r="N385" s="2" t="str">
        <f>VLOOKUP(الحركات[من صندوق],Table1[],2,0)</f>
        <v>دخل</v>
      </c>
      <c r="O385" s="2" t="str">
        <f>VLOOKUP(الحركات[إلى صندوق],Table1[[الصندوق]:[نوعه]],2,0)</f>
        <v>صرف</v>
      </c>
    </row>
    <row r="386" spans="1:15" x14ac:dyDescent="0.3">
      <c r="A386">
        <v>201907</v>
      </c>
      <c r="B386" s="3"/>
      <c r="C386" t="s">
        <v>18</v>
      </c>
      <c r="D386" s="15">
        <f>VLOOKUP(الحركات[[#This Row],[من صندوق]],Table5[],5,0)</f>
        <v>225</v>
      </c>
      <c r="E386" t="s">
        <v>15</v>
      </c>
      <c r="F386" s="15">
        <f>VLOOKUP(الحركات[[#This Row],[إلى صندوق]],Table5[[الصندوق]:[الرصيد الفعلي]],5,0)</f>
        <v>0</v>
      </c>
      <c r="G386" s="15">
        <f>IF(VLOOKUP(الحركات[إلى صندوق],Table1[],3,0)=0,VLOOKUP(الحركات[[#This Row],[من صندوق]],Table1[[الصندوق]:[القيمة الشهرية]],3,0),VLOOKUP(الحركات[إلى صندوق],Table1[],3,0))</f>
        <v>285</v>
      </c>
      <c r="H386" s="22">
        <v>285</v>
      </c>
      <c r="I386" s="22"/>
      <c r="J386" t="s">
        <v>56</v>
      </c>
      <c r="L386" s="26" t="b">
        <f ca="1">AND(الحركات[[#This Row],[مدفوع من شهر]]&lt;=VALUE(TEXT($A$2,"YYYYMM")),الحركات[[#This Row],[الحالة]]="")</f>
        <v>0</v>
      </c>
      <c r="M386" s="2" t="str">
        <f>الحركات[من صندوق]&amp;"/"&amp;الحركات[إلى صندوق]</f>
        <v>الراتب/ملابس</v>
      </c>
      <c r="N386" s="2" t="str">
        <f>VLOOKUP(الحركات[من صندوق],Table1[],2,0)</f>
        <v>دخل</v>
      </c>
      <c r="O386" s="2" t="str">
        <f>VLOOKUP(الحركات[إلى صندوق],Table1[[الصندوق]:[نوعه]],2,0)</f>
        <v>صرف</v>
      </c>
    </row>
    <row r="387" spans="1:15" x14ac:dyDescent="0.3">
      <c r="A387">
        <v>201907</v>
      </c>
      <c r="B387" s="3"/>
      <c r="C387" t="s">
        <v>18</v>
      </c>
      <c r="D387" s="15">
        <f>VLOOKUP(الحركات[[#This Row],[من صندوق]],Table5[],5,0)</f>
        <v>225</v>
      </c>
      <c r="E387" t="s">
        <v>1</v>
      </c>
      <c r="F387" s="15">
        <f>VLOOKUP(الحركات[[#This Row],[إلى صندوق]],Table5[[الصندوق]:[الرصيد الفعلي]],5,0)</f>
        <v>0</v>
      </c>
      <c r="G387" s="15">
        <f>IF(VLOOKUP(الحركات[إلى صندوق],Table1[],3,0)=0,VLOOKUP(الحركات[[#This Row],[من صندوق]],Table1[[الصندوق]:[القيمة الشهرية]],3,0),VLOOKUP(الحركات[إلى صندوق],Table1[],3,0))</f>
        <v>190</v>
      </c>
      <c r="H387" s="22">
        <v>190</v>
      </c>
      <c r="I387" s="22"/>
      <c r="J387" t="s">
        <v>57</v>
      </c>
      <c r="L387" s="26" t="b">
        <f ca="1">AND(الحركات[[#This Row],[مدفوع من شهر]]&lt;=VALUE(TEXT($A$2,"YYYYMM")),الحركات[[#This Row],[الحالة]]="")</f>
        <v>0</v>
      </c>
      <c r="M387" s="2" t="str">
        <f>الحركات[من صندوق]&amp;"/"&amp;الحركات[إلى صندوق]</f>
        <v>الراتب/هدايا</v>
      </c>
      <c r="N387" s="2" t="str">
        <f>VLOOKUP(الحركات[من صندوق],Table1[],2,0)</f>
        <v>دخل</v>
      </c>
      <c r="O387" s="2" t="str">
        <f>VLOOKUP(الحركات[إلى صندوق],Table1[[الصندوق]:[نوعه]],2,0)</f>
        <v>صرف</v>
      </c>
    </row>
    <row r="388" spans="1:15" x14ac:dyDescent="0.3">
      <c r="A388">
        <v>201907</v>
      </c>
      <c r="B388" s="3"/>
      <c r="C388" t="s">
        <v>18</v>
      </c>
      <c r="D388" s="15">
        <f>VLOOKUP(الحركات[[#This Row],[من صندوق]],Table5[],5,0)</f>
        <v>225</v>
      </c>
      <c r="E388" t="s">
        <v>4</v>
      </c>
      <c r="F388" s="15">
        <f>VLOOKUP(الحركات[[#This Row],[إلى صندوق]],Table5[[الصندوق]:[الرصيد الفعلي]],5,0)</f>
        <v>200</v>
      </c>
      <c r="G388" s="15">
        <f>IF(VLOOKUP(الحركات[إلى صندوق],Table1[],3,0)=0,VLOOKUP(الحركات[[#This Row],[من صندوق]],Table1[[الصندوق]:[القيمة الشهرية]],3,0),VLOOKUP(الحركات[إلى صندوق],Table1[],3,0))</f>
        <v>200</v>
      </c>
      <c r="H388" s="22">
        <v>200</v>
      </c>
      <c r="I388" s="22"/>
      <c r="J388" t="s">
        <v>58</v>
      </c>
      <c r="L388" s="26" t="b">
        <f ca="1">AND(الحركات[[#This Row],[مدفوع من شهر]]&lt;=VALUE(TEXT($A$2,"YYYYMM")),الحركات[[#This Row],[الحالة]]="")</f>
        <v>0</v>
      </c>
      <c r="M388" s="2" t="str">
        <f>الحركات[من صندوق]&amp;"/"&amp;الحركات[إلى صندوق]</f>
        <v>الراتب/طوارئ</v>
      </c>
      <c r="N388" s="2" t="str">
        <f>VLOOKUP(الحركات[من صندوق],Table1[],2,0)</f>
        <v>دخل</v>
      </c>
      <c r="O388" s="2" t="str">
        <f>VLOOKUP(الحركات[إلى صندوق],Table1[[الصندوق]:[نوعه]],2,0)</f>
        <v>صرف</v>
      </c>
    </row>
    <row r="389" spans="1:15" x14ac:dyDescent="0.3">
      <c r="A389">
        <v>201907</v>
      </c>
      <c r="B389" s="3"/>
      <c r="C389" t="s">
        <v>11</v>
      </c>
      <c r="D389" s="15">
        <f>VLOOKUP(الحركات[[#This Row],[من صندوق]],Table5[],5,0)</f>
        <v>0</v>
      </c>
      <c r="E389" t="s">
        <v>14</v>
      </c>
      <c r="F389" s="15">
        <f>VLOOKUP(الحركات[[#This Row],[إلى صندوق]],Table5[[الصندوق]:[الرصيد الفعلي]],5,0)</f>
        <v>5025</v>
      </c>
      <c r="G389" s="15">
        <f>IF(VLOOKUP(الحركات[إلى صندوق],Table1[],3,0)=0,VLOOKUP(الحركات[[#This Row],[من صندوق]],Table1[[الصندوق]:[القيمة الشهرية]],3,0),VLOOKUP(الحركات[إلى صندوق],Table1[],3,0))</f>
        <v>250</v>
      </c>
      <c r="H389" s="22">
        <v>250</v>
      </c>
      <c r="I389" s="22"/>
      <c r="J389" t="s">
        <v>59</v>
      </c>
      <c r="L389" s="26" t="b">
        <f ca="1">AND(الحركات[[#This Row],[مدفوع من شهر]]&lt;=VALUE(TEXT($A$2,"YYYYMM")),الحركات[[#This Row],[الحالة]]="")</f>
        <v>0</v>
      </c>
      <c r="M389" s="2" t="str">
        <f>الحركات[من صندوق]&amp;"/"&amp;الحركات[إلى صندوق]</f>
        <v>فواتير/صرف</v>
      </c>
      <c r="N389" s="2" t="str">
        <f>VLOOKUP(الحركات[من صندوق],Table1[],2,0)</f>
        <v>صرف</v>
      </c>
      <c r="O389" s="2" t="str">
        <f>VLOOKUP(الحركات[إلى صندوق],Table1[[الصندوق]:[نوعه]],2,0)</f>
        <v>خارجي</v>
      </c>
    </row>
    <row r="390" spans="1:15" x14ac:dyDescent="0.3">
      <c r="A390">
        <v>201907</v>
      </c>
      <c r="B390" s="3"/>
      <c r="C390" t="s">
        <v>13</v>
      </c>
      <c r="D390" s="15">
        <f>VLOOKUP(الحركات[[#This Row],[من صندوق]],Table5[],5,0)</f>
        <v>0</v>
      </c>
      <c r="E390" t="s">
        <v>14</v>
      </c>
      <c r="F390" s="15">
        <f>VLOOKUP(الحركات[[#This Row],[إلى صندوق]],Table5[[الصندوق]:[الرصيد الفعلي]],5,0)</f>
        <v>5025</v>
      </c>
      <c r="G390" s="15">
        <f>IF(VLOOKUP(الحركات[إلى صندوق],Table1[],3,0)=0,VLOOKUP(الحركات[[#This Row],[من صندوق]],Table1[[الصندوق]:[القيمة الشهرية]],3,0),VLOOKUP(الحركات[إلى صندوق],Table1[],3,0))</f>
        <v>3800</v>
      </c>
      <c r="H390" s="22">
        <v>3800</v>
      </c>
      <c r="I390" s="22"/>
      <c r="J390" t="s">
        <v>60</v>
      </c>
      <c r="L390" s="26" t="b">
        <f ca="1">AND(الحركات[[#This Row],[مدفوع من شهر]]&lt;=VALUE(TEXT($A$2,"YYYYMM")),الحركات[[#This Row],[الحالة]]="")</f>
        <v>0</v>
      </c>
      <c r="M390" s="2" t="str">
        <f>الحركات[من صندوق]&amp;"/"&amp;الحركات[إلى صندوق]</f>
        <v>مصاريف شهرية/صرف</v>
      </c>
      <c r="N390" s="2" t="str">
        <f>VLOOKUP(الحركات[من صندوق],Table1[],2,0)</f>
        <v>صرف</v>
      </c>
      <c r="O390" s="2" t="str">
        <f>VLOOKUP(الحركات[إلى صندوق],Table1[[الصندوق]:[نوعه]],2,0)</f>
        <v>خارجي</v>
      </c>
    </row>
    <row r="391" spans="1:15" x14ac:dyDescent="0.3">
      <c r="A391">
        <v>201907</v>
      </c>
      <c r="B391" s="3"/>
      <c r="C391" t="s">
        <v>0</v>
      </c>
      <c r="D391" s="15">
        <f>VLOOKUP(الحركات[[#This Row],[من صندوق]],Table5[],5,0)</f>
        <v>0</v>
      </c>
      <c r="E391" t="s">
        <v>14</v>
      </c>
      <c r="F391" s="15">
        <f>VLOOKUP(الحركات[[#This Row],[إلى صندوق]],Table5[[الصندوق]:[الرصيد الفعلي]],5,0)</f>
        <v>5025</v>
      </c>
      <c r="G391" s="15">
        <f>IF(VLOOKUP(الحركات[إلى صندوق],Table1[],3,0)=0,VLOOKUP(الحركات[[#This Row],[من صندوق]],Table1[[الصندوق]:[القيمة الشهرية]],3,0),VLOOKUP(الحركات[إلى صندوق],Table1[],3,0))</f>
        <v>500</v>
      </c>
      <c r="H391" s="22">
        <v>500</v>
      </c>
      <c r="I391" s="22"/>
      <c r="J391" t="s">
        <v>66</v>
      </c>
      <c r="L391" s="26" t="b">
        <f ca="1">AND(الحركات[[#This Row],[مدفوع من شهر]]&lt;=VALUE(TEXT($A$2,"YYYYMM")),الحركات[[#This Row],[الحالة]]="")</f>
        <v>0</v>
      </c>
      <c r="M391" s="2" t="str">
        <f>الحركات[من صندوق]&amp;"/"&amp;الحركات[إلى صندوق]</f>
        <v>توفير/صرف</v>
      </c>
      <c r="N391" s="2" t="str">
        <f>VLOOKUP(الحركات[من صندوق],Table1[],2,0)</f>
        <v>صرف</v>
      </c>
      <c r="O391" s="2" t="str">
        <f>VLOOKUP(الحركات[إلى صندوق],Table1[[الصندوق]:[نوعه]],2,0)</f>
        <v>خارجي</v>
      </c>
    </row>
    <row r="392" spans="1:15" x14ac:dyDescent="0.3">
      <c r="A392">
        <v>201907</v>
      </c>
      <c r="B392" s="3"/>
      <c r="C392" t="s">
        <v>12</v>
      </c>
      <c r="D392" s="15">
        <f>VLOOKUP(الحركات[[#This Row],[من صندوق]],Table5[],5,0)</f>
        <v>400</v>
      </c>
      <c r="E392" t="s">
        <v>14</v>
      </c>
      <c r="F392" s="15">
        <f>VLOOKUP(الحركات[[#This Row],[إلى صندوق]],Table5[[الصندوق]:[الرصيد الفعلي]],5,0)</f>
        <v>5025</v>
      </c>
      <c r="G392" s="15">
        <f>IF(VLOOKUP(الحركات[إلى صندوق],Table1[],3,0)=0,VLOOKUP(الحركات[[#This Row],[من صندوق]],Table1[[الصندوق]:[القيمة الشهرية]],3,0),VLOOKUP(الحركات[إلى صندوق],Table1[],3,0))</f>
        <v>400</v>
      </c>
      <c r="H392" s="22">
        <v>4800</v>
      </c>
      <c r="I392" s="22"/>
      <c r="J392" t="s">
        <v>67</v>
      </c>
      <c r="L392" s="26" t="b">
        <f ca="1">AND(الحركات[[#This Row],[مدفوع من شهر]]&lt;=VALUE(TEXT($A$2,"YYYYMM")),الحركات[[#This Row],[الحالة]]="")</f>
        <v>0</v>
      </c>
      <c r="M392" s="2" t="str">
        <f>الحركات[من صندوق]&amp;"/"&amp;الحركات[إلى صندوق]</f>
        <v>اجازات/صرف</v>
      </c>
      <c r="N392" s="2" t="str">
        <f>VLOOKUP(الحركات[من صندوق],Table1[],2,0)</f>
        <v>صرف</v>
      </c>
      <c r="O392" s="2" t="str">
        <f>VLOOKUP(الحركات[إلى صندوق],Table1[[الصندوق]:[نوعه]],2,0)</f>
        <v>خارجي</v>
      </c>
    </row>
    <row r="393" spans="1:15" x14ac:dyDescent="0.3">
      <c r="A393">
        <v>201907</v>
      </c>
      <c r="B393" s="3"/>
      <c r="C393" t="s">
        <v>15</v>
      </c>
      <c r="D393" s="15">
        <f>VLOOKUP(الحركات[[#This Row],[من صندوق]],Table5[],5,0)</f>
        <v>0</v>
      </c>
      <c r="E393" t="s">
        <v>14</v>
      </c>
      <c r="F393" s="15">
        <f>VLOOKUP(الحركات[[#This Row],[إلى صندوق]],Table5[[الصندوق]:[الرصيد الفعلي]],5,0)</f>
        <v>5025</v>
      </c>
      <c r="G393" s="15">
        <f>IF(VLOOKUP(الحركات[إلى صندوق],Table1[],3,0)=0,VLOOKUP(الحركات[[#This Row],[من صندوق]],Table1[[الصندوق]:[القيمة الشهرية]],3,0),VLOOKUP(الحركات[إلى صندوق],Table1[],3,0))</f>
        <v>285</v>
      </c>
      <c r="H393" s="22">
        <v>285</v>
      </c>
      <c r="I393" s="22"/>
      <c r="J393" t="s">
        <v>71</v>
      </c>
      <c r="L393" s="26" t="b">
        <f ca="1">AND(الحركات[[#This Row],[مدفوع من شهر]]&lt;=VALUE(TEXT($A$2,"YYYYMM")),الحركات[[#This Row],[الحالة]]="")</f>
        <v>0</v>
      </c>
      <c r="M393" s="2" t="str">
        <f>الحركات[من صندوق]&amp;"/"&amp;الحركات[إلى صندوق]</f>
        <v>ملابس/صرف</v>
      </c>
      <c r="N393" s="2" t="str">
        <f>VLOOKUP(الحركات[من صندوق],Table1[],2,0)</f>
        <v>صرف</v>
      </c>
      <c r="O393" s="2" t="str">
        <f>VLOOKUP(الحركات[إلى صندوق],Table1[[الصندوق]:[نوعه]],2,0)</f>
        <v>خارجي</v>
      </c>
    </row>
    <row r="394" spans="1:15" x14ac:dyDescent="0.3">
      <c r="A394">
        <v>201907</v>
      </c>
      <c r="B394" s="3"/>
      <c r="C394" t="s">
        <v>1</v>
      </c>
      <c r="D394" s="15">
        <f>VLOOKUP(الحركات[[#This Row],[من صندوق]],Table5[],5,0)</f>
        <v>0</v>
      </c>
      <c r="E394" t="s">
        <v>14</v>
      </c>
      <c r="F394" s="15">
        <f>VLOOKUP(الحركات[[#This Row],[إلى صندوق]],Table5[[الصندوق]:[الرصيد الفعلي]],5,0)</f>
        <v>5025</v>
      </c>
      <c r="G394" s="15">
        <f>IF(VLOOKUP(الحركات[إلى صندوق],Table1[],3,0)=0,VLOOKUP(الحركات[[#This Row],[من صندوق]],Table1[[الصندوق]:[القيمة الشهرية]],3,0),VLOOKUP(الحركات[إلى صندوق],Table1[],3,0))</f>
        <v>190</v>
      </c>
      <c r="H394" s="22">
        <v>190</v>
      </c>
      <c r="I394" s="22"/>
      <c r="J394" t="s">
        <v>72</v>
      </c>
      <c r="L394" s="26" t="b">
        <f ca="1">AND(الحركات[[#This Row],[مدفوع من شهر]]&lt;=VALUE(TEXT($A$2,"YYYYMM")),الحركات[[#This Row],[الحالة]]="")</f>
        <v>0</v>
      </c>
      <c r="M394" s="2" t="str">
        <f>الحركات[من صندوق]&amp;"/"&amp;الحركات[إلى صندوق]</f>
        <v>هدايا/صرف</v>
      </c>
      <c r="N394" s="2" t="str">
        <f>VLOOKUP(الحركات[من صندوق],Table1[],2,0)</f>
        <v>صرف</v>
      </c>
      <c r="O394" s="2" t="str">
        <f>VLOOKUP(الحركات[إلى صندوق],Table1[[الصندوق]:[نوعه]],2,0)</f>
        <v>خارجي</v>
      </c>
    </row>
    <row r="395" spans="1:15" x14ac:dyDescent="0.3">
      <c r="A395">
        <v>201908</v>
      </c>
      <c r="B395" s="3"/>
      <c r="C395" t="s">
        <v>20</v>
      </c>
      <c r="D395" s="15">
        <f>VLOOKUP(الحركات[[#This Row],[من صندوق]],Table5[],5,0)</f>
        <v>-10000</v>
      </c>
      <c r="E395" t="s">
        <v>18</v>
      </c>
      <c r="F395" s="15">
        <f>VLOOKUP(الحركات[[#This Row],[إلى صندوق]],Table5[[الصندوق]:[الرصيد الفعلي]],5,0)</f>
        <v>225</v>
      </c>
      <c r="G395" s="15">
        <f>IF(VLOOKUP(الحركات[إلى صندوق],Table1[],3,0)=0,VLOOKUP(الحركات[[#This Row],[من صندوق]],Table1[[الصندوق]:[القيمة الشهرية]],3,0),VLOOKUP(الحركات[إلى صندوق],Table1[],3,0))</f>
        <v>10000</v>
      </c>
      <c r="H395" s="22">
        <v>10000</v>
      </c>
      <c r="I395" s="22"/>
      <c r="J395" t="s">
        <v>40</v>
      </c>
      <c r="L395" s="26" t="b">
        <f ca="1">AND(الحركات[[#This Row],[مدفوع من شهر]]&lt;=VALUE(TEXT($A$2,"YYYYMM")),الحركات[[#This Row],[الحالة]]="")</f>
        <v>0</v>
      </c>
      <c r="M395" s="2" t="str">
        <f>الحركات[من صندوق]&amp;"/"&amp;الحركات[إلى صندوق]</f>
        <v>الشركة/الراتب</v>
      </c>
      <c r="N395" s="2" t="str">
        <f>VLOOKUP(الحركات[من صندوق],Table1[],2,0)</f>
        <v>خارجي</v>
      </c>
      <c r="O395" s="2" t="str">
        <f>VLOOKUP(الحركات[إلى صندوق],Table1[[الصندوق]:[نوعه]],2,0)</f>
        <v>دخل</v>
      </c>
    </row>
    <row r="396" spans="1:15" x14ac:dyDescent="0.3">
      <c r="A396">
        <v>201908</v>
      </c>
      <c r="B396" s="3"/>
      <c r="C396" t="s">
        <v>18</v>
      </c>
      <c r="D396" s="15">
        <f>VLOOKUP(الحركات[[#This Row],[من صندوق]],Table5[],5,0)</f>
        <v>225</v>
      </c>
      <c r="E396" t="s">
        <v>11</v>
      </c>
      <c r="F396" s="15">
        <f>VLOOKUP(الحركات[[#This Row],[إلى صندوق]],Table5[[الصندوق]:[الرصيد الفعلي]],5,0)</f>
        <v>0</v>
      </c>
      <c r="G396" s="15">
        <f>IF(VLOOKUP(الحركات[إلى صندوق],Table1[],3,0)=0,VLOOKUP(الحركات[[#This Row],[من صندوق]],Table1[[الصندوق]:[القيمة الشهرية]],3,0),VLOOKUP(الحركات[إلى صندوق],Table1[],3,0))</f>
        <v>250</v>
      </c>
      <c r="H396" s="22">
        <v>250</v>
      </c>
      <c r="I396" s="22"/>
      <c r="J396" t="s">
        <v>47</v>
      </c>
      <c r="L396" s="26" t="b">
        <f ca="1">AND(الحركات[[#This Row],[مدفوع من شهر]]&lt;=VALUE(TEXT($A$2,"YYYYMM")),الحركات[[#This Row],[الحالة]]="")</f>
        <v>0</v>
      </c>
      <c r="M396" s="2" t="str">
        <f>الحركات[من صندوق]&amp;"/"&amp;الحركات[إلى صندوق]</f>
        <v>الراتب/فواتير</v>
      </c>
      <c r="N396" s="2" t="str">
        <f>VLOOKUP(الحركات[من صندوق],Table1[],2,0)</f>
        <v>دخل</v>
      </c>
      <c r="O396" s="2" t="str">
        <f>VLOOKUP(الحركات[إلى صندوق],Table1[[الصندوق]:[نوعه]],2,0)</f>
        <v>صرف</v>
      </c>
    </row>
    <row r="397" spans="1:15" x14ac:dyDescent="0.3">
      <c r="A397">
        <v>201908</v>
      </c>
      <c r="B397" s="3"/>
      <c r="C397" t="s">
        <v>18</v>
      </c>
      <c r="D397" s="15">
        <f>VLOOKUP(الحركات[[#This Row],[من صندوق]],Table5[],5,0)</f>
        <v>225</v>
      </c>
      <c r="E397" t="s">
        <v>13</v>
      </c>
      <c r="F397" s="15">
        <f>VLOOKUP(الحركات[[#This Row],[إلى صندوق]],Table5[[الصندوق]:[الرصيد الفعلي]],5,0)</f>
        <v>0</v>
      </c>
      <c r="G397" s="15">
        <f>IF(VLOOKUP(الحركات[إلى صندوق],Table1[],3,0)=0,VLOOKUP(الحركات[[#This Row],[من صندوق]],Table1[[الصندوق]:[القيمة الشهرية]],3,0),VLOOKUP(الحركات[إلى صندوق],Table1[],3,0))</f>
        <v>3800</v>
      </c>
      <c r="H397" s="22">
        <v>3800</v>
      </c>
      <c r="I397" s="22"/>
      <c r="J397" t="s">
        <v>48</v>
      </c>
      <c r="L397" s="26" t="b">
        <f ca="1">AND(الحركات[[#This Row],[مدفوع من شهر]]&lt;=VALUE(TEXT($A$2,"YYYYMM")),الحركات[[#This Row],[الحالة]]="")</f>
        <v>0</v>
      </c>
      <c r="M397" s="2" t="str">
        <f>الحركات[من صندوق]&amp;"/"&amp;الحركات[إلى صندوق]</f>
        <v>الراتب/مصاريف شهرية</v>
      </c>
      <c r="N397" s="2" t="str">
        <f>VLOOKUP(الحركات[من صندوق],Table1[],2,0)</f>
        <v>دخل</v>
      </c>
      <c r="O397" s="2" t="str">
        <f>VLOOKUP(الحركات[إلى صندوق],Table1[[الصندوق]:[نوعه]],2,0)</f>
        <v>صرف</v>
      </c>
    </row>
    <row r="398" spans="1:15" x14ac:dyDescent="0.3">
      <c r="A398">
        <v>201908</v>
      </c>
      <c r="B398" s="3"/>
      <c r="C398" t="s">
        <v>18</v>
      </c>
      <c r="D398" s="15">
        <f>VLOOKUP(الحركات[[#This Row],[من صندوق]],Table5[],5,0)</f>
        <v>225</v>
      </c>
      <c r="E398" t="s">
        <v>3</v>
      </c>
      <c r="F398" s="15">
        <f>VLOOKUP(الحركات[[#This Row],[إلى صندوق]],Table5[[الصندوق]:[الرصيد الفعلي]],5,0)</f>
        <v>2000</v>
      </c>
      <c r="G398" s="15">
        <f>IF(VLOOKUP(الحركات[إلى صندوق],Table1[],3,0)=0,VLOOKUP(الحركات[[#This Row],[من صندوق]],Table1[[الصندوق]:[القيمة الشهرية]],3,0),VLOOKUP(الحركات[إلى صندوق],Table1[],3,0))</f>
        <v>2000</v>
      </c>
      <c r="H398" s="22">
        <v>2000</v>
      </c>
      <c r="I398" s="22"/>
      <c r="J398" t="s">
        <v>49</v>
      </c>
      <c r="L398" s="26" t="b">
        <f ca="1">AND(الحركات[[#This Row],[مدفوع من شهر]]&lt;=VALUE(TEXT($A$2,"YYYYMM")),الحركات[[#This Row],[الحالة]]="")</f>
        <v>0</v>
      </c>
      <c r="M398" s="2" t="str">
        <f>الحركات[من صندوق]&amp;"/"&amp;الحركات[إلى صندوق]</f>
        <v>الراتب/مدارس</v>
      </c>
      <c r="N398" s="2" t="str">
        <f>VLOOKUP(الحركات[من صندوق],Table1[],2,0)</f>
        <v>دخل</v>
      </c>
      <c r="O398" s="2" t="str">
        <f>VLOOKUP(الحركات[إلى صندوق],Table1[[الصندوق]:[نوعه]],2,0)</f>
        <v>صرف</v>
      </c>
    </row>
    <row r="399" spans="1:15" x14ac:dyDescent="0.3">
      <c r="A399">
        <v>201908</v>
      </c>
      <c r="B399" s="3"/>
      <c r="C399" t="s">
        <v>18</v>
      </c>
      <c r="D399" s="15">
        <f>VLOOKUP(الحركات[[#This Row],[من صندوق]],Table5[],5,0)</f>
        <v>225</v>
      </c>
      <c r="E399" t="s">
        <v>21</v>
      </c>
      <c r="F399" s="15">
        <f>VLOOKUP(الحركات[[#This Row],[إلى صندوق]],Table5[[الصندوق]:[الرصيد الفعلي]],5,0)</f>
        <v>1500</v>
      </c>
      <c r="G399" s="15">
        <f>IF(VLOOKUP(الحركات[إلى صندوق],Table1[],3,0)=0,VLOOKUP(الحركات[[#This Row],[من صندوق]],Table1[[الصندوق]:[القيمة الشهرية]],3,0),VLOOKUP(الحركات[إلى صندوق],Table1[],3,0))</f>
        <v>1500</v>
      </c>
      <c r="H399" s="22">
        <v>1500</v>
      </c>
      <c r="I399" s="22"/>
      <c r="J399" t="s">
        <v>50</v>
      </c>
      <c r="L399" s="26" t="b">
        <f ca="1">AND(الحركات[[#This Row],[مدفوع من شهر]]&lt;=VALUE(TEXT($A$2,"YYYYMM")),الحركات[[#This Row],[الحالة]]="")</f>
        <v>0</v>
      </c>
      <c r="M399" s="2" t="str">
        <f>الحركات[من صندوق]&amp;"/"&amp;الحركات[إلى صندوق]</f>
        <v>الراتب/ايجار المنزل</v>
      </c>
      <c r="N399" s="2" t="str">
        <f>VLOOKUP(الحركات[من صندوق],Table1[],2,0)</f>
        <v>دخل</v>
      </c>
      <c r="O399" s="2" t="str">
        <f>VLOOKUP(الحركات[إلى صندوق],Table1[[الصندوق]:[نوعه]],2,0)</f>
        <v>صرف</v>
      </c>
    </row>
    <row r="400" spans="1:15" x14ac:dyDescent="0.3">
      <c r="A400">
        <v>201908</v>
      </c>
      <c r="B400" s="3"/>
      <c r="C400" t="s">
        <v>18</v>
      </c>
      <c r="D400" s="15">
        <f>VLOOKUP(الحركات[[#This Row],[من صندوق]],Table5[],5,0)</f>
        <v>225</v>
      </c>
      <c r="E400" t="s">
        <v>0</v>
      </c>
      <c r="F400" s="15">
        <f>VLOOKUP(الحركات[[#This Row],[إلى صندوق]],Table5[[الصندوق]:[الرصيد الفعلي]],5,0)</f>
        <v>0</v>
      </c>
      <c r="G400" s="15">
        <f>IF(VLOOKUP(الحركات[إلى صندوق],Table1[],3,0)=0,VLOOKUP(الحركات[[#This Row],[من صندوق]],Table1[[الصندوق]:[القيمة الشهرية]],3,0),VLOOKUP(الحركات[إلى صندوق],Table1[],3,0))</f>
        <v>500</v>
      </c>
      <c r="H400" s="22">
        <v>500</v>
      </c>
      <c r="I400" s="22"/>
      <c r="J400" t="s">
        <v>51</v>
      </c>
      <c r="L400" s="26" t="b">
        <f ca="1">AND(الحركات[[#This Row],[مدفوع من شهر]]&lt;=VALUE(TEXT($A$2,"YYYYMM")),الحركات[[#This Row],[الحالة]]="")</f>
        <v>0</v>
      </c>
      <c r="M400" s="2" t="str">
        <f>الحركات[من صندوق]&amp;"/"&amp;الحركات[إلى صندوق]</f>
        <v>الراتب/توفير</v>
      </c>
      <c r="N400" s="2" t="str">
        <f>VLOOKUP(الحركات[من صندوق],Table1[],2,0)</f>
        <v>دخل</v>
      </c>
      <c r="O400" s="2" t="str">
        <f>VLOOKUP(الحركات[إلى صندوق],Table1[[الصندوق]:[نوعه]],2,0)</f>
        <v>صرف</v>
      </c>
    </row>
    <row r="401" spans="1:15" x14ac:dyDescent="0.3">
      <c r="A401">
        <v>201908</v>
      </c>
      <c r="B401" s="3"/>
      <c r="C401" t="s">
        <v>18</v>
      </c>
      <c r="D401" s="15">
        <f>VLOOKUP(الحركات[[#This Row],[من صندوق]],Table5[],5,0)</f>
        <v>225</v>
      </c>
      <c r="E401" t="s">
        <v>12</v>
      </c>
      <c r="F401" s="15">
        <f>VLOOKUP(الحركات[[#This Row],[إلى صندوق]],Table5[[الصندوق]:[الرصيد الفعلي]],5,0)</f>
        <v>400</v>
      </c>
      <c r="G401" s="15">
        <f>IF(VLOOKUP(الحركات[إلى صندوق],Table1[],3,0)=0,VLOOKUP(الحركات[[#This Row],[من صندوق]],Table1[[الصندوق]:[القيمة الشهرية]],3,0),VLOOKUP(الحركات[إلى صندوق],Table1[],3,0))</f>
        <v>400</v>
      </c>
      <c r="H401" s="22">
        <v>400</v>
      </c>
      <c r="I401" s="22"/>
      <c r="J401" t="s">
        <v>52</v>
      </c>
      <c r="L401" s="26" t="b">
        <f ca="1">AND(الحركات[[#This Row],[مدفوع من شهر]]&lt;=VALUE(TEXT($A$2,"YYYYMM")),الحركات[[#This Row],[الحالة]]="")</f>
        <v>0</v>
      </c>
      <c r="M401" s="2" t="str">
        <f>الحركات[من صندوق]&amp;"/"&amp;الحركات[إلى صندوق]</f>
        <v>الراتب/اجازات</v>
      </c>
      <c r="N401" s="2" t="str">
        <f>VLOOKUP(الحركات[من صندوق],Table1[],2,0)</f>
        <v>دخل</v>
      </c>
      <c r="O401" s="2" t="str">
        <f>VLOOKUP(الحركات[إلى صندوق],Table1[[الصندوق]:[نوعه]],2,0)</f>
        <v>صرف</v>
      </c>
    </row>
    <row r="402" spans="1:15" x14ac:dyDescent="0.3">
      <c r="A402">
        <v>201908</v>
      </c>
      <c r="B402" s="3"/>
      <c r="C402" t="s">
        <v>18</v>
      </c>
      <c r="D402" s="15">
        <f>VLOOKUP(الحركات[[#This Row],[من صندوق]],Table5[],5,0)</f>
        <v>225</v>
      </c>
      <c r="E402" t="s">
        <v>9</v>
      </c>
      <c r="F402" s="15">
        <f>VLOOKUP(الحركات[[#This Row],[إلى صندوق]],Table5[[الصندوق]:[الرصيد الفعلي]],5,0)</f>
        <v>200</v>
      </c>
      <c r="G402" s="15">
        <f>IF(VLOOKUP(الحركات[إلى صندوق],Table1[],3,0)=0,VLOOKUP(الحركات[[#This Row],[من صندوق]],Table1[[الصندوق]:[القيمة الشهرية]],3,0),VLOOKUP(الحركات[إلى صندوق],Table1[],3,0))</f>
        <v>200</v>
      </c>
      <c r="H402" s="22">
        <v>200</v>
      </c>
      <c r="I402" s="22"/>
      <c r="J402" t="s">
        <v>53</v>
      </c>
      <c r="L402" s="26" t="b">
        <f ca="1">AND(الحركات[[#This Row],[مدفوع من شهر]]&lt;=VALUE(TEXT($A$2,"YYYYMM")),الحركات[[#This Row],[الحالة]]="")</f>
        <v>0</v>
      </c>
      <c r="M402" s="2" t="str">
        <f>الحركات[من صندوق]&amp;"/"&amp;الحركات[إلى صندوق]</f>
        <v>الراتب/دورات</v>
      </c>
      <c r="N402" s="2" t="str">
        <f>VLOOKUP(الحركات[من صندوق],Table1[],2,0)</f>
        <v>دخل</v>
      </c>
      <c r="O402" s="2" t="str">
        <f>VLOOKUP(الحركات[إلى صندوق],Table1[[الصندوق]:[نوعه]],2,0)</f>
        <v>صرف</v>
      </c>
    </row>
    <row r="403" spans="1:15" x14ac:dyDescent="0.3">
      <c r="A403">
        <v>201908</v>
      </c>
      <c r="B403" s="3"/>
      <c r="C403" t="s">
        <v>18</v>
      </c>
      <c r="D403" s="15">
        <f>VLOOKUP(الحركات[[#This Row],[من صندوق]],Table5[],5,0)</f>
        <v>225</v>
      </c>
      <c r="E403" t="s">
        <v>22</v>
      </c>
      <c r="F403" s="15">
        <f>VLOOKUP(الحركات[[#This Row],[إلى صندوق]],Table5[[الصندوق]:[الرصيد الفعلي]],5,0)</f>
        <v>200</v>
      </c>
      <c r="G403" s="15">
        <f>IF(VLOOKUP(الحركات[إلى صندوق],Table1[],3,0)=0,VLOOKUP(الحركات[[#This Row],[من صندوق]],Table1[[الصندوق]:[القيمة الشهرية]],3,0),VLOOKUP(الحركات[إلى صندوق],Table1[],3,0))</f>
        <v>200</v>
      </c>
      <c r="H403" s="22">
        <v>200</v>
      </c>
      <c r="I403" s="22"/>
      <c r="J403" t="s">
        <v>54</v>
      </c>
      <c r="L403" s="26" t="b">
        <f ca="1">AND(الحركات[[#This Row],[مدفوع من شهر]]&lt;=VALUE(TEXT($A$2,"YYYYMM")),الحركات[[#This Row],[الحالة]]="")</f>
        <v>0</v>
      </c>
      <c r="M403" s="2" t="str">
        <f>الحركات[من صندوق]&amp;"/"&amp;الحركات[إلى صندوق]</f>
        <v>الراتب/زكاة</v>
      </c>
      <c r="N403" s="2" t="str">
        <f>VLOOKUP(الحركات[من صندوق],Table1[],2,0)</f>
        <v>دخل</v>
      </c>
      <c r="O403" s="2" t="str">
        <f>VLOOKUP(الحركات[إلى صندوق],Table1[[الصندوق]:[نوعه]],2,0)</f>
        <v>صرف</v>
      </c>
    </row>
    <row r="404" spans="1:15" x14ac:dyDescent="0.3">
      <c r="A404">
        <v>201908</v>
      </c>
      <c r="B404" s="3"/>
      <c r="C404" t="s">
        <v>18</v>
      </c>
      <c r="D404" s="15">
        <f>VLOOKUP(الحركات[[#This Row],[من صندوق]],Table5[],5,0)</f>
        <v>225</v>
      </c>
      <c r="E404" t="s">
        <v>10</v>
      </c>
      <c r="F404" s="15">
        <f>VLOOKUP(الحركات[[#This Row],[إلى صندوق]],Table5[[الصندوق]:[الرصيد الفعلي]],5,0)</f>
        <v>250</v>
      </c>
      <c r="G404" s="15">
        <f>IF(VLOOKUP(الحركات[إلى صندوق],Table1[],3,0)=0,VLOOKUP(الحركات[[#This Row],[من صندوق]],Table1[[الصندوق]:[القيمة الشهرية]],3,0),VLOOKUP(الحركات[إلى صندوق],Table1[],3,0))</f>
        <v>250</v>
      </c>
      <c r="H404" s="22">
        <v>250</v>
      </c>
      <c r="I404" s="22"/>
      <c r="J404" t="s">
        <v>55</v>
      </c>
      <c r="L404" s="26" t="b">
        <f ca="1">AND(الحركات[[#This Row],[مدفوع من شهر]]&lt;=VALUE(TEXT($A$2,"YYYYMM")),الحركات[[#This Row],[الحالة]]="")</f>
        <v>0</v>
      </c>
      <c r="M404" s="2" t="str">
        <f>الحركات[من صندوق]&amp;"/"&amp;الحركات[إلى صندوق]</f>
        <v>الراتب/صيانة السيارة</v>
      </c>
      <c r="N404" s="2" t="str">
        <f>VLOOKUP(الحركات[من صندوق],Table1[],2,0)</f>
        <v>دخل</v>
      </c>
      <c r="O404" s="2" t="str">
        <f>VLOOKUP(الحركات[إلى صندوق],Table1[[الصندوق]:[نوعه]],2,0)</f>
        <v>صرف</v>
      </c>
    </row>
    <row r="405" spans="1:15" x14ac:dyDescent="0.3">
      <c r="A405">
        <v>201908</v>
      </c>
      <c r="B405" s="3"/>
      <c r="C405" t="s">
        <v>18</v>
      </c>
      <c r="D405" s="15">
        <f>VLOOKUP(الحركات[[#This Row],[من صندوق]],Table5[],5,0)</f>
        <v>225</v>
      </c>
      <c r="E405" t="s">
        <v>15</v>
      </c>
      <c r="F405" s="15">
        <f>VLOOKUP(الحركات[[#This Row],[إلى صندوق]],Table5[[الصندوق]:[الرصيد الفعلي]],5,0)</f>
        <v>0</v>
      </c>
      <c r="G405" s="15">
        <f>IF(VLOOKUP(الحركات[إلى صندوق],Table1[],3,0)=0,VLOOKUP(الحركات[[#This Row],[من صندوق]],Table1[[الصندوق]:[القيمة الشهرية]],3,0),VLOOKUP(الحركات[إلى صندوق],Table1[],3,0))</f>
        <v>285</v>
      </c>
      <c r="H405" s="22">
        <v>285</v>
      </c>
      <c r="I405" s="22"/>
      <c r="J405" t="s">
        <v>56</v>
      </c>
      <c r="L405" s="26" t="b">
        <f ca="1">AND(الحركات[[#This Row],[مدفوع من شهر]]&lt;=VALUE(TEXT($A$2,"YYYYMM")),الحركات[[#This Row],[الحالة]]="")</f>
        <v>0</v>
      </c>
      <c r="M405" s="2" t="str">
        <f>الحركات[من صندوق]&amp;"/"&amp;الحركات[إلى صندوق]</f>
        <v>الراتب/ملابس</v>
      </c>
      <c r="N405" s="2" t="str">
        <f>VLOOKUP(الحركات[من صندوق],Table1[],2,0)</f>
        <v>دخل</v>
      </c>
      <c r="O405" s="2" t="str">
        <f>VLOOKUP(الحركات[إلى صندوق],Table1[[الصندوق]:[نوعه]],2,0)</f>
        <v>صرف</v>
      </c>
    </row>
    <row r="406" spans="1:15" x14ac:dyDescent="0.3">
      <c r="A406">
        <v>201908</v>
      </c>
      <c r="B406" s="3"/>
      <c r="C406" t="s">
        <v>18</v>
      </c>
      <c r="D406" s="15">
        <f>VLOOKUP(الحركات[[#This Row],[من صندوق]],Table5[],5,0)</f>
        <v>225</v>
      </c>
      <c r="E406" t="s">
        <v>1</v>
      </c>
      <c r="F406" s="15">
        <f>VLOOKUP(الحركات[[#This Row],[إلى صندوق]],Table5[[الصندوق]:[الرصيد الفعلي]],5,0)</f>
        <v>0</v>
      </c>
      <c r="G406" s="15">
        <f>IF(VLOOKUP(الحركات[إلى صندوق],Table1[],3,0)=0,VLOOKUP(الحركات[[#This Row],[من صندوق]],Table1[[الصندوق]:[القيمة الشهرية]],3,0),VLOOKUP(الحركات[إلى صندوق],Table1[],3,0))</f>
        <v>190</v>
      </c>
      <c r="H406" s="22">
        <v>190</v>
      </c>
      <c r="I406" s="22"/>
      <c r="J406" t="s">
        <v>57</v>
      </c>
      <c r="L406" s="26" t="b">
        <f ca="1">AND(الحركات[[#This Row],[مدفوع من شهر]]&lt;=VALUE(TEXT($A$2,"YYYYMM")),الحركات[[#This Row],[الحالة]]="")</f>
        <v>0</v>
      </c>
      <c r="M406" s="2" t="str">
        <f>الحركات[من صندوق]&amp;"/"&amp;الحركات[إلى صندوق]</f>
        <v>الراتب/هدايا</v>
      </c>
      <c r="N406" s="2" t="str">
        <f>VLOOKUP(الحركات[من صندوق],Table1[],2,0)</f>
        <v>دخل</v>
      </c>
      <c r="O406" s="2" t="str">
        <f>VLOOKUP(الحركات[إلى صندوق],Table1[[الصندوق]:[نوعه]],2,0)</f>
        <v>صرف</v>
      </c>
    </row>
    <row r="407" spans="1:15" x14ac:dyDescent="0.3">
      <c r="A407">
        <v>201908</v>
      </c>
      <c r="B407" s="3"/>
      <c r="C407" t="s">
        <v>18</v>
      </c>
      <c r="D407" s="15">
        <f>VLOOKUP(الحركات[[#This Row],[من صندوق]],Table5[],5,0)</f>
        <v>225</v>
      </c>
      <c r="E407" t="s">
        <v>4</v>
      </c>
      <c r="F407" s="15">
        <f>VLOOKUP(الحركات[[#This Row],[إلى صندوق]],Table5[[الصندوق]:[الرصيد الفعلي]],5,0)</f>
        <v>200</v>
      </c>
      <c r="G407" s="15">
        <f>IF(VLOOKUP(الحركات[إلى صندوق],Table1[],3,0)=0,VLOOKUP(الحركات[[#This Row],[من صندوق]],Table1[[الصندوق]:[القيمة الشهرية]],3,0),VLOOKUP(الحركات[إلى صندوق],Table1[],3,0))</f>
        <v>200</v>
      </c>
      <c r="H407" s="22">
        <v>200</v>
      </c>
      <c r="I407" s="22"/>
      <c r="J407" t="s">
        <v>58</v>
      </c>
      <c r="L407" s="26" t="b">
        <f ca="1">AND(الحركات[[#This Row],[مدفوع من شهر]]&lt;=VALUE(TEXT($A$2,"YYYYMM")),الحركات[[#This Row],[الحالة]]="")</f>
        <v>0</v>
      </c>
      <c r="M407" s="2" t="str">
        <f>الحركات[من صندوق]&amp;"/"&amp;الحركات[إلى صندوق]</f>
        <v>الراتب/طوارئ</v>
      </c>
      <c r="N407" s="2" t="str">
        <f>VLOOKUP(الحركات[من صندوق],Table1[],2,0)</f>
        <v>دخل</v>
      </c>
      <c r="O407" s="2" t="str">
        <f>VLOOKUP(الحركات[إلى صندوق],Table1[[الصندوق]:[نوعه]],2,0)</f>
        <v>صرف</v>
      </c>
    </row>
    <row r="408" spans="1:15" x14ac:dyDescent="0.3">
      <c r="A408">
        <v>201908</v>
      </c>
      <c r="B408" s="3"/>
      <c r="C408" t="s">
        <v>11</v>
      </c>
      <c r="D408" s="15">
        <f>VLOOKUP(الحركات[[#This Row],[من صندوق]],Table5[],5,0)</f>
        <v>0</v>
      </c>
      <c r="E408" t="s">
        <v>14</v>
      </c>
      <c r="F408" s="15">
        <f>VLOOKUP(الحركات[[#This Row],[إلى صندوق]],Table5[[الصندوق]:[الرصيد الفعلي]],5,0)</f>
        <v>5025</v>
      </c>
      <c r="G408" s="15">
        <f>IF(VLOOKUP(الحركات[إلى صندوق],Table1[],3,0)=0,VLOOKUP(الحركات[[#This Row],[من صندوق]],Table1[[الصندوق]:[القيمة الشهرية]],3,0),VLOOKUP(الحركات[إلى صندوق],Table1[],3,0))</f>
        <v>250</v>
      </c>
      <c r="H408" s="22">
        <v>250</v>
      </c>
      <c r="I408" s="22"/>
      <c r="J408" t="s">
        <v>59</v>
      </c>
      <c r="L408" s="26" t="b">
        <f ca="1">AND(الحركات[[#This Row],[مدفوع من شهر]]&lt;=VALUE(TEXT($A$2,"YYYYMM")),الحركات[[#This Row],[الحالة]]="")</f>
        <v>0</v>
      </c>
      <c r="M408" s="2" t="str">
        <f>الحركات[من صندوق]&amp;"/"&amp;الحركات[إلى صندوق]</f>
        <v>فواتير/صرف</v>
      </c>
      <c r="N408" s="2" t="str">
        <f>VLOOKUP(الحركات[من صندوق],Table1[],2,0)</f>
        <v>صرف</v>
      </c>
      <c r="O408" s="2" t="str">
        <f>VLOOKUP(الحركات[إلى صندوق],Table1[[الصندوق]:[نوعه]],2,0)</f>
        <v>خارجي</v>
      </c>
    </row>
    <row r="409" spans="1:15" x14ac:dyDescent="0.3">
      <c r="A409">
        <v>201908</v>
      </c>
      <c r="B409" s="3"/>
      <c r="C409" t="s">
        <v>13</v>
      </c>
      <c r="D409" s="15">
        <f>VLOOKUP(الحركات[[#This Row],[من صندوق]],Table5[],5,0)</f>
        <v>0</v>
      </c>
      <c r="E409" t="s">
        <v>14</v>
      </c>
      <c r="F409" s="15">
        <f>VLOOKUP(الحركات[[#This Row],[إلى صندوق]],Table5[[الصندوق]:[الرصيد الفعلي]],5,0)</f>
        <v>5025</v>
      </c>
      <c r="G409" s="15">
        <f>IF(VLOOKUP(الحركات[إلى صندوق],Table1[],3,0)=0,VLOOKUP(الحركات[[#This Row],[من صندوق]],Table1[[الصندوق]:[القيمة الشهرية]],3,0),VLOOKUP(الحركات[إلى صندوق],Table1[],3,0))</f>
        <v>3800</v>
      </c>
      <c r="H409" s="22">
        <v>3800</v>
      </c>
      <c r="I409" s="22"/>
      <c r="J409" t="s">
        <v>60</v>
      </c>
      <c r="L409" s="26" t="b">
        <f ca="1">AND(الحركات[[#This Row],[مدفوع من شهر]]&lt;=VALUE(TEXT($A$2,"YYYYMM")),الحركات[[#This Row],[الحالة]]="")</f>
        <v>0</v>
      </c>
      <c r="M409" s="2" t="str">
        <f>الحركات[من صندوق]&amp;"/"&amp;الحركات[إلى صندوق]</f>
        <v>مصاريف شهرية/صرف</v>
      </c>
      <c r="N409" s="2" t="str">
        <f>VLOOKUP(الحركات[من صندوق],Table1[],2,0)</f>
        <v>صرف</v>
      </c>
      <c r="O409" s="2" t="str">
        <f>VLOOKUP(الحركات[إلى صندوق],Table1[[الصندوق]:[نوعه]],2,0)</f>
        <v>خارجي</v>
      </c>
    </row>
    <row r="410" spans="1:15" x14ac:dyDescent="0.3">
      <c r="A410">
        <v>201908</v>
      </c>
      <c r="B410" s="3"/>
      <c r="C410" t="s">
        <v>3</v>
      </c>
      <c r="D410" s="15">
        <f>VLOOKUP(الحركات[[#This Row],[من صندوق]],Table5[],5,0)</f>
        <v>2000</v>
      </c>
      <c r="E410" t="s">
        <v>14</v>
      </c>
      <c r="F410" s="15">
        <f>VLOOKUP(الحركات[[#This Row],[إلى صندوق]],Table5[[الصندوق]:[الرصيد الفعلي]],5,0)</f>
        <v>5025</v>
      </c>
      <c r="G410" s="15">
        <f>IF(VLOOKUP(الحركات[إلى صندوق],Table1[],3,0)=0,VLOOKUP(الحركات[[#This Row],[من صندوق]],Table1[[الصندوق]:[القيمة الشهرية]],3,0),VLOOKUP(الحركات[إلى صندوق],Table1[],3,0))</f>
        <v>2000</v>
      </c>
      <c r="H410" s="22">
        <v>8000</v>
      </c>
      <c r="I410" s="22"/>
      <c r="J410" t="s">
        <v>62</v>
      </c>
      <c r="L410" s="26" t="b">
        <f ca="1">AND(الحركات[[#This Row],[مدفوع من شهر]]&lt;=VALUE(TEXT($A$2,"YYYYMM")),الحركات[[#This Row],[الحالة]]="")</f>
        <v>0</v>
      </c>
      <c r="M410" s="2" t="str">
        <f>الحركات[من صندوق]&amp;"/"&amp;الحركات[إلى صندوق]</f>
        <v>مدارس/صرف</v>
      </c>
      <c r="N410" s="2" t="str">
        <f>VLOOKUP(الحركات[من صندوق],Table1[],2,0)</f>
        <v>صرف</v>
      </c>
      <c r="O410" s="2" t="str">
        <f>VLOOKUP(الحركات[إلى صندوق],Table1[[الصندوق]:[نوعه]],2,0)</f>
        <v>خارجي</v>
      </c>
    </row>
    <row r="411" spans="1:15" x14ac:dyDescent="0.3">
      <c r="A411">
        <v>201908</v>
      </c>
      <c r="B411" s="3"/>
      <c r="C411" t="s">
        <v>0</v>
      </c>
      <c r="D411" s="15">
        <f>VLOOKUP(الحركات[[#This Row],[من صندوق]],Table5[],5,0)</f>
        <v>0</v>
      </c>
      <c r="E411" t="s">
        <v>14</v>
      </c>
      <c r="F411" s="15">
        <f>VLOOKUP(الحركات[[#This Row],[إلى صندوق]],Table5[[الصندوق]:[الرصيد الفعلي]],5,0)</f>
        <v>5025</v>
      </c>
      <c r="G411" s="15">
        <f>IF(VLOOKUP(الحركات[إلى صندوق],Table1[],3,0)=0,VLOOKUP(الحركات[[#This Row],[من صندوق]],Table1[[الصندوق]:[القيمة الشهرية]],3,0),VLOOKUP(الحركات[إلى صندوق],Table1[],3,0))</f>
        <v>500</v>
      </c>
      <c r="H411" s="22">
        <v>500</v>
      </c>
      <c r="I411" s="22"/>
      <c r="J411" t="s">
        <v>66</v>
      </c>
      <c r="L411" s="26" t="b">
        <f ca="1">AND(الحركات[[#This Row],[مدفوع من شهر]]&lt;=VALUE(TEXT($A$2,"YYYYMM")),الحركات[[#This Row],[الحالة]]="")</f>
        <v>0</v>
      </c>
      <c r="M411" s="2" t="str">
        <f>الحركات[من صندوق]&amp;"/"&amp;الحركات[إلى صندوق]</f>
        <v>توفير/صرف</v>
      </c>
      <c r="N411" s="2" t="str">
        <f>VLOOKUP(الحركات[من صندوق],Table1[],2,0)</f>
        <v>صرف</v>
      </c>
      <c r="O411" s="2" t="str">
        <f>VLOOKUP(الحركات[إلى صندوق],Table1[[الصندوق]:[نوعه]],2,0)</f>
        <v>خارجي</v>
      </c>
    </row>
    <row r="412" spans="1:15" x14ac:dyDescent="0.3">
      <c r="A412">
        <v>201908</v>
      </c>
      <c r="B412" s="3"/>
      <c r="C412" t="s">
        <v>15</v>
      </c>
      <c r="D412" s="15">
        <f>VLOOKUP(الحركات[[#This Row],[من صندوق]],Table5[],5,0)</f>
        <v>0</v>
      </c>
      <c r="E412" t="s">
        <v>14</v>
      </c>
      <c r="F412" s="15">
        <f>VLOOKUP(الحركات[[#This Row],[إلى صندوق]],Table5[[الصندوق]:[الرصيد الفعلي]],5,0)</f>
        <v>5025</v>
      </c>
      <c r="G412" s="15">
        <f>IF(VLOOKUP(الحركات[إلى صندوق],Table1[],3,0)=0,VLOOKUP(الحركات[[#This Row],[من صندوق]],Table1[[الصندوق]:[القيمة الشهرية]],3,0),VLOOKUP(الحركات[إلى صندوق],Table1[],3,0))</f>
        <v>285</v>
      </c>
      <c r="H412" s="22">
        <v>285</v>
      </c>
      <c r="I412" s="22"/>
      <c r="J412" t="s">
        <v>71</v>
      </c>
      <c r="L412" s="26" t="b">
        <f ca="1">AND(الحركات[[#This Row],[مدفوع من شهر]]&lt;=VALUE(TEXT($A$2,"YYYYMM")),الحركات[[#This Row],[الحالة]]="")</f>
        <v>0</v>
      </c>
      <c r="M412" s="2" t="str">
        <f>الحركات[من صندوق]&amp;"/"&amp;الحركات[إلى صندوق]</f>
        <v>ملابس/صرف</v>
      </c>
      <c r="N412" s="2" t="str">
        <f>VLOOKUP(الحركات[من صندوق],Table1[],2,0)</f>
        <v>صرف</v>
      </c>
      <c r="O412" s="2" t="str">
        <f>VLOOKUP(الحركات[إلى صندوق],Table1[[الصندوق]:[نوعه]],2,0)</f>
        <v>خارجي</v>
      </c>
    </row>
    <row r="413" spans="1:15" x14ac:dyDescent="0.3">
      <c r="A413">
        <v>201908</v>
      </c>
      <c r="B413" s="3"/>
      <c r="C413" t="s">
        <v>1</v>
      </c>
      <c r="D413" s="15">
        <f>VLOOKUP(الحركات[[#This Row],[من صندوق]],Table5[],5,0)</f>
        <v>0</v>
      </c>
      <c r="E413" t="s">
        <v>14</v>
      </c>
      <c r="F413" s="15">
        <f>VLOOKUP(الحركات[[#This Row],[إلى صندوق]],Table5[[الصندوق]:[الرصيد الفعلي]],5,0)</f>
        <v>5025</v>
      </c>
      <c r="G413" s="15">
        <f>IF(VLOOKUP(الحركات[إلى صندوق],Table1[],3,0)=0,VLOOKUP(الحركات[[#This Row],[من صندوق]],Table1[[الصندوق]:[القيمة الشهرية]],3,0),VLOOKUP(الحركات[إلى صندوق],Table1[],3,0))</f>
        <v>190</v>
      </c>
      <c r="H413" s="22">
        <v>190</v>
      </c>
      <c r="I413" s="22"/>
      <c r="J413" t="s">
        <v>72</v>
      </c>
      <c r="L413" s="26" t="b">
        <f ca="1">AND(الحركات[[#This Row],[مدفوع من شهر]]&lt;=VALUE(TEXT($A$2,"YYYYMM")),الحركات[[#This Row],[الحالة]]="")</f>
        <v>0</v>
      </c>
      <c r="M413" s="2" t="str">
        <f>الحركات[من صندوق]&amp;"/"&amp;الحركات[إلى صندوق]</f>
        <v>هدايا/صرف</v>
      </c>
      <c r="N413" s="2" t="str">
        <f>VLOOKUP(الحركات[من صندوق],Table1[],2,0)</f>
        <v>صرف</v>
      </c>
      <c r="O413" s="2" t="str">
        <f>VLOOKUP(الحركات[إلى صندوق],Table1[[الصندوق]:[نوعه]],2,0)</f>
        <v>خارجي</v>
      </c>
    </row>
    <row r="414" spans="1:15" x14ac:dyDescent="0.3">
      <c r="A414">
        <v>201909</v>
      </c>
      <c r="B414" s="3"/>
      <c r="C414" t="s">
        <v>20</v>
      </c>
      <c r="D414" s="15">
        <f>VLOOKUP(الحركات[[#This Row],[من صندوق]],Table5[],5,0)</f>
        <v>-10000</v>
      </c>
      <c r="E414" t="s">
        <v>18</v>
      </c>
      <c r="F414" s="15">
        <f>VLOOKUP(الحركات[[#This Row],[إلى صندوق]],Table5[[الصندوق]:[الرصيد الفعلي]],5,0)</f>
        <v>225</v>
      </c>
      <c r="G414" s="15">
        <f>IF(VLOOKUP(الحركات[إلى صندوق],Table1[],3,0)=0,VLOOKUP(الحركات[[#This Row],[من صندوق]],Table1[[الصندوق]:[القيمة الشهرية]],3,0),VLOOKUP(الحركات[إلى صندوق],Table1[],3,0))</f>
        <v>10000</v>
      </c>
      <c r="H414" s="22">
        <v>10000</v>
      </c>
      <c r="I414" s="22"/>
      <c r="J414" t="s">
        <v>40</v>
      </c>
      <c r="L414" s="26" t="b">
        <f ca="1">AND(الحركات[[#This Row],[مدفوع من شهر]]&lt;=VALUE(TEXT($A$2,"YYYYMM")),الحركات[[#This Row],[الحالة]]="")</f>
        <v>0</v>
      </c>
      <c r="M414" s="2" t="str">
        <f>الحركات[من صندوق]&amp;"/"&amp;الحركات[إلى صندوق]</f>
        <v>الشركة/الراتب</v>
      </c>
      <c r="N414" s="2" t="str">
        <f>VLOOKUP(الحركات[من صندوق],Table1[],2,0)</f>
        <v>خارجي</v>
      </c>
      <c r="O414" s="2" t="str">
        <f>VLOOKUP(الحركات[إلى صندوق],Table1[[الصندوق]:[نوعه]],2,0)</f>
        <v>دخل</v>
      </c>
    </row>
    <row r="415" spans="1:15" x14ac:dyDescent="0.3">
      <c r="A415">
        <v>201909</v>
      </c>
      <c r="B415" s="3"/>
      <c r="C415" t="s">
        <v>18</v>
      </c>
      <c r="D415" s="15">
        <f>VLOOKUP(الحركات[[#This Row],[من صندوق]],Table5[],5,0)</f>
        <v>225</v>
      </c>
      <c r="E415" t="s">
        <v>11</v>
      </c>
      <c r="F415" s="15">
        <f>VLOOKUP(الحركات[[#This Row],[إلى صندوق]],Table5[[الصندوق]:[الرصيد الفعلي]],5,0)</f>
        <v>0</v>
      </c>
      <c r="G415" s="15">
        <f>IF(VLOOKUP(الحركات[إلى صندوق],Table1[],3,0)=0,VLOOKUP(الحركات[[#This Row],[من صندوق]],Table1[[الصندوق]:[القيمة الشهرية]],3,0),VLOOKUP(الحركات[إلى صندوق],Table1[],3,0))</f>
        <v>250</v>
      </c>
      <c r="H415" s="22">
        <v>250</v>
      </c>
      <c r="I415" s="22"/>
      <c r="J415" t="s">
        <v>47</v>
      </c>
      <c r="L415" s="26" t="b">
        <f ca="1">AND(الحركات[[#This Row],[مدفوع من شهر]]&lt;=VALUE(TEXT($A$2,"YYYYMM")),الحركات[[#This Row],[الحالة]]="")</f>
        <v>0</v>
      </c>
      <c r="M415" s="2" t="str">
        <f>الحركات[من صندوق]&amp;"/"&amp;الحركات[إلى صندوق]</f>
        <v>الراتب/فواتير</v>
      </c>
      <c r="N415" s="2" t="str">
        <f>VLOOKUP(الحركات[من صندوق],Table1[],2,0)</f>
        <v>دخل</v>
      </c>
      <c r="O415" s="2" t="str">
        <f>VLOOKUP(الحركات[إلى صندوق],Table1[[الصندوق]:[نوعه]],2,0)</f>
        <v>صرف</v>
      </c>
    </row>
    <row r="416" spans="1:15" x14ac:dyDescent="0.3">
      <c r="A416">
        <v>201909</v>
      </c>
      <c r="B416" s="3"/>
      <c r="C416" t="s">
        <v>18</v>
      </c>
      <c r="D416" s="15">
        <f>VLOOKUP(الحركات[[#This Row],[من صندوق]],Table5[],5,0)</f>
        <v>225</v>
      </c>
      <c r="E416" t="s">
        <v>13</v>
      </c>
      <c r="F416" s="15">
        <f>VLOOKUP(الحركات[[#This Row],[إلى صندوق]],Table5[[الصندوق]:[الرصيد الفعلي]],5,0)</f>
        <v>0</v>
      </c>
      <c r="G416" s="15">
        <f>IF(VLOOKUP(الحركات[إلى صندوق],Table1[],3,0)=0,VLOOKUP(الحركات[[#This Row],[من صندوق]],Table1[[الصندوق]:[القيمة الشهرية]],3,0),VLOOKUP(الحركات[إلى صندوق],Table1[],3,0))</f>
        <v>3800</v>
      </c>
      <c r="H416" s="22">
        <v>3800</v>
      </c>
      <c r="I416" s="22"/>
      <c r="J416" t="s">
        <v>48</v>
      </c>
      <c r="L416" s="26" t="b">
        <f ca="1">AND(الحركات[[#This Row],[مدفوع من شهر]]&lt;=VALUE(TEXT($A$2,"YYYYMM")),الحركات[[#This Row],[الحالة]]="")</f>
        <v>0</v>
      </c>
      <c r="M416" s="2" t="str">
        <f>الحركات[من صندوق]&amp;"/"&amp;الحركات[إلى صندوق]</f>
        <v>الراتب/مصاريف شهرية</v>
      </c>
      <c r="N416" s="2" t="str">
        <f>VLOOKUP(الحركات[من صندوق],Table1[],2,0)</f>
        <v>دخل</v>
      </c>
      <c r="O416" s="2" t="str">
        <f>VLOOKUP(الحركات[إلى صندوق],Table1[[الصندوق]:[نوعه]],2,0)</f>
        <v>صرف</v>
      </c>
    </row>
    <row r="417" spans="1:15" x14ac:dyDescent="0.3">
      <c r="A417">
        <v>201909</v>
      </c>
      <c r="B417" s="3"/>
      <c r="C417" t="s">
        <v>18</v>
      </c>
      <c r="D417" s="15">
        <f>VLOOKUP(الحركات[[#This Row],[من صندوق]],Table5[],5,0)</f>
        <v>225</v>
      </c>
      <c r="E417" t="s">
        <v>3</v>
      </c>
      <c r="F417" s="15">
        <f>VLOOKUP(الحركات[[#This Row],[إلى صندوق]],Table5[[الصندوق]:[الرصيد الفعلي]],5,0)</f>
        <v>2000</v>
      </c>
      <c r="G417" s="15">
        <f>IF(VLOOKUP(الحركات[إلى صندوق],Table1[],3,0)=0,VLOOKUP(الحركات[[#This Row],[من صندوق]],Table1[[الصندوق]:[القيمة الشهرية]],3,0),VLOOKUP(الحركات[إلى صندوق],Table1[],3,0))</f>
        <v>2000</v>
      </c>
      <c r="H417" s="22">
        <v>2000</v>
      </c>
      <c r="I417" s="22"/>
      <c r="J417" t="s">
        <v>49</v>
      </c>
      <c r="L417" s="26" t="b">
        <f ca="1">AND(الحركات[[#This Row],[مدفوع من شهر]]&lt;=VALUE(TEXT($A$2,"YYYYMM")),الحركات[[#This Row],[الحالة]]="")</f>
        <v>0</v>
      </c>
      <c r="M417" s="2" t="str">
        <f>الحركات[من صندوق]&amp;"/"&amp;الحركات[إلى صندوق]</f>
        <v>الراتب/مدارس</v>
      </c>
      <c r="N417" s="2" t="str">
        <f>VLOOKUP(الحركات[من صندوق],Table1[],2,0)</f>
        <v>دخل</v>
      </c>
      <c r="O417" s="2" t="str">
        <f>VLOOKUP(الحركات[إلى صندوق],Table1[[الصندوق]:[نوعه]],2,0)</f>
        <v>صرف</v>
      </c>
    </row>
    <row r="418" spans="1:15" x14ac:dyDescent="0.3">
      <c r="A418">
        <v>201909</v>
      </c>
      <c r="B418" s="3"/>
      <c r="C418" t="s">
        <v>18</v>
      </c>
      <c r="D418" s="15">
        <f>VLOOKUP(الحركات[[#This Row],[من صندوق]],Table5[],5,0)</f>
        <v>225</v>
      </c>
      <c r="E418" t="s">
        <v>21</v>
      </c>
      <c r="F418" s="15">
        <f>VLOOKUP(الحركات[[#This Row],[إلى صندوق]],Table5[[الصندوق]:[الرصيد الفعلي]],5,0)</f>
        <v>1500</v>
      </c>
      <c r="G418" s="15">
        <f>IF(VLOOKUP(الحركات[إلى صندوق],Table1[],3,0)=0,VLOOKUP(الحركات[[#This Row],[من صندوق]],Table1[[الصندوق]:[القيمة الشهرية]],3,0),VLOOKUP(الحركات[إلى صندوق],Table1[],3,0))</f>
        <v>1500</v>
      </c>
      <c r="H418" s="22">
        <v>1500</v>
      </c>
      <c r="I418" s="22"/>
      <c r="J418" t="s">
        <v>50</v>
      </c>
      <c r="L418" s="26" t="b">
        <f ca="1">AND(الحركات[[#This Row],[مدفوع من شهر]]&lt;=VALUE(TEXT($A$2,"YYYYMM")),الحركات[[#This Row],[الحالة]]="")</f>
        <v>0</v>
      </c>
      <c r="M418" s="2" t="str">
        <f>الحركات[من صندوق]&amp;"/"&amp;الحركات[إلى صندوق]</f>
        <v>الراتب/ايجار المنزل</v>
      </c>
      <c r="N418" s="2" t="str">
        <f>VLOOKUP(الحركات[من صندوق],Table1[],2,0)</f>
        <v>دخل</v>
      </c>
      <c r="O418" s="2" t="str">
        <f>VLOOKUP(الحركات[إلى صندوق],Table1[[الصندوق]:[نوعه]],2,0)</f>
        <v>صرف</v>
      </c>
    </row>
    <row r="419" spans="1:15" x14ac:dyDescent="0.3">
      <c r="A419">
        <v>201909</v>
      </c>
      <c r="B419" s="3"/>
      <c r="C419" t="s">
        <v>18</v>
      </c>
      <c r="D419" s="15">
        <f>VLOOKUP(الحركات[[#This Row],[من صندوق]],Table5[],5,0)</f>
        <v>225</v>
      </c>
      <c r="E419" t="s">
        <v>0</v>
      </c>
      <c r="F419" s="15">
        <f>VLOOKUP(الحركات[[#This Row],[إلى صندوق]],Table5[[الصندوق]:[الرصيد الفعلي]],5,0)</f>
        <v>0</v>
      </c>
      <c r="G419" s="15">
        <f>IF(VLOOKUP(الحركات[إلى صندوق],Table1[],3,0)=0,VLOOKUP(الحركات[[#This Row],[من صندوق]],Table1[[الصندوق]:[القيمة الشهرية]],3,0),VLOOKUP(الحركات[إلى صندوق],Table1[],3,0))</f>
        <v>500</v>
      </c>
      <c r="H419" s="22">
        <v>500</v>
      </c>
      <c r="I419" s="22"/>
      <c r="J419" t="s">
        <v>51</v>
      </c>
      <c r="L419" s="26" t="b">
        <f ca="1">AND(الحركات[[#This Row],[مدفوع من شهر]]&lt;=VALUE(TEXT($A$2,"YYYYMM")),الحركات[[#This Row],[الحالة]]="")</f>
        <v>0</v>
      </c>
      <c r="M419" s="2" t="str">
        <f>الحركات[من صندوق]&amp;"/"&amp;الحركات[إلى صندوق]</f>
        <v>الراتب/توفير</v>
      </c>
      <c r="N419" s="2" t="str">
        <f>VLOOKUP(الحركات[من صندوق],Table1[],2,0)</f>
        <v>دخل</v>
      </c>
      <c r="O419" s="2" t="str">
        <f>VLOOKUP(الحركات[إلى صندوق],Table1[[الصندوق]:[نوعه]],2,0)</f>
        <v>صرف</v>
      </c>
    </row>
    <row r="420" spans="1:15" x14ac:dyDescent="0.3">
      <c r="A420">
        <v>201909</v>
      </c>
      <c r="B420" s="3"/>
      <c r="C420" t="s">
        <v>18</v>
      </c>
      <c r="D420" s="15">
        <f>VLOOKUP(الحركات[[#This Row],[من صندوق]],Table5[],5,0)</f>
        <v>225</v>
      </c>
      <c r="E420" t="s">
        <v>12</v>
      </c>
      <c r="F420" s="15">
        <f>VLOOKUP(الحركات[[#This Row],[إلى صندوق]],Table5[[الصندوق]:[الرصيد الفعلي]],5,0)</f>
        <v>400</v>
      </c>
      <c r="G420" s="15">
        <f>IF(VLOOKUP(الحركات[إلى صندوق],Table1[],3,0)=0,VLOOKUP(الحركات[[#This Row],[من صندوق]],Table1[[الصندوق]:[القيمة الشهرية]],3,0),VLOOKUP(الحركات[إلى صندوق],Table1[],3,0))</f>
        <v>400</v>
      </c>
      <c r="H420" s="22">
        <v>400</v>
      </c>
      <c r="I420" s="22"/>
      <c r="J420" t="s">
        <v>52</v>
      </c>
      <c r="L420" s="26" t="b">
        <f ca="1">AND(الحركات[[#This Row],[مدفوع من شهر]]&lt;=VALUE(TEXT($A$2,"YYYYMM")),الحركات[[#This Row],[الحالة]]="")</f>
        <v>0</v>
      </c>
      <c r="M420" s="2" t="str">
        <f>الحركات[من صندوق]&amp;"/"&amp;الحركات[إلى صندوق]</f>
        <v>الراتب/اجازات</v>
      </c>
      <c r="N420" s="2" t="str">
        <f>VLOOKUP(الحركات[من صندوق],Table1[],2,0)</f>
        <v>دخل</v>
      </c>
      <c r="O420" s="2" t="str">
        <f>VLOOKUP(الحركات[إلى صندوق],Table1[[الصندوق]:[نوعه]],2,0)</f>
        <v>صرف</v>
      </c>
    </row>
    <row r="421" spans="1:15" x14ac:dyDescent="0.3">
      <c r="A421">
        <v>201909</v>
      </c>
      <c r="B421" s="3"/>
      <c r="C421" t="s">
        <v>18</v>
      </c>
      <c r="D421" s="15">
        <f>VLOOKUP(الحركات[[#This Row],[من صندوق]],Table5[],5,0)</f>
        <v>225</v>
      </c>
      <c r="E421" t="s">
        <v>9</v>
      </c>
      <c r="F421" s="15">
        <f>VLOOKUP(الحركات[[#This Row],[إلى صندوق]],Table5[[الصندوق]:[الرصيد الفعلي]],5,0)</f>
        <v>200</v>
      </c>
      <c r="G421" s="15">
        <f>IF(VLOOKUP(الحركات[إلى صندوق],Table1[],3,0)=0,VLOOKUP(الحركات[[#This Row],[من صندوق]],Table1[[الصندوق]:[القيمة الشهرية]],3,0),VLOOKUP(الحركات[إلى صندوق],Table1[],3,0))</f>
        <v>200</v>
      </c>
      <c r="H421" s="22">
        <v>200</v>
      </c>
      <c r="I421" s="22"/>
      <c r="J421" t="s">
        <v>53</v>
      </c>
      <c r="L421" s="26" t="b">
        <f ca="1">AND(الحركات[[#This Row],[مدفوع من شهر]]&lt;=VALUE(TEXT($A$2,"YYYYMM")),الحركات[[#This Row],[الحالة]]="")</f>
        <v>0</v>
      </c>
      <c r="M421" s="2" t="str">
        <f>الحركات[من صندوق]&amp;"/"&amp;الحركات[إلى صندوق]</f>
        <v>الراتب/دورات</v>
      </c>
      <c r="N421" s="2" t="str">
        <f>VLOOKUP(الحركات[من صندوق],Table1[],2,0)</f>
        <v>دخل</v>
      </c>
      <c r="O421" s="2" t="str">
        <f>VLOOKUP(الحركات[إلى صندوق],Table1[[الصندوق]:[نوعه]],2,0)</f>
        <v>صرف</v>
      </c>
    </row>
    <row r="422" spans="1:15" x14ac:dyDescent="0.3">
      <c r="A422">
        <v>201909</v>
      </c>
      <c r="B422" s="3"/>
      <c r="C422" t="s">
        <v>18</v>
      </c>
      <c r="D422" s="15">
        <f>VLOOKUP(الحركات[[#This Row],[من صندوق]],Table5[],5,0)</f>
        <v>225</v>
      </c>
      <c r="E422" t="s">
        <v>22</v>
      </c>
      <c r="F422" s="15">
        <f>VLOOKUP(الحركات[[#This Row],[إلى صندوق]],Table5[[الصندوق]:[الرصيد الفعلي]],5,0)</f>
        <v>200</v>
      </c>
      <c r="G422" s="15">
        <f>IF(VLOOKUP(الحركات[إلى صندوق],Table1[],3,0)=0,VLOOKUP(الحركات[[#This Row],[من صندوق]],Table1[[الصندوق]:[القيمة الشهرية]],3,0),VLOOKUP(الحركات[إلى صندوق],Table1[],3,0))</f>
        <v>200</v>
      </c>
      <c r="H422" s="22">
        <v>200</v>
      </c>
      <c r="I422" s="22"/>
      <c r="J422" t="s">
        <v>54</v>
      </c>
      <c r="L422" s="26" t="b">
        <f ca="1">AND(الحركات[[#This Row],[مدفوع من شهر]]&lt;=VALUE(TEXT($A$2,"YYYYMM")),الحركات[[#This Row],[الحالة]]="")</f>
        <v>0</v>
      </c>
      <c r="M422" s="2" t="str">
        <f>الحركات[من صندوق]&amp;"/"&amp;الحركات[إلى صندوق]</f>
        <v>الراتب/زكاة</v>
      </c>
      <c r="N422" s="2" t="str">
        <f>VLOOKUP(الحركات[من صندوق],Table1[],2,0)</f>
        <v>دخل</v>
      </c>
      <c r="O422" s="2" t="str">
        <f>VLOOKUP(الحركات[إلى صندوق],Table1[[الصندوق]:[نوعه]],2,0)</f>
        <v>صرف</v>
      </c>
    </row>
    <row r="423" spans="1:15" x14ac:dyDescent="0.3">
      <c r="A423">
        <v>201909</v>
      </c>
      <c r="B423" s="3"/>
      <c r="C423" t="s">
        <v>18</v>
      </c>
      <c r="D423" s="15">
        <f>VLOOKUP(الحركات[[#This Row],[من صندوق]],Table5[],5,0)</f>
        <v>225</v>
      </c>
      <c r="E423" t="s">
        <v>10</v>
      </c>
      <c r="F423" s="15">
        <f>VLOOKUP(الحركات[[#This Row],[إلى صندوق]],Table5[[الصندوق]:[الرصيد الفعلي]],5,0)</f>
        <v>250</v>
      </c>
      <c r="G423" s="15">
        <f>IF(VLOOKUP(الحركات[إلى صندوق],Table1[],3,0)=0,VLOOKUP(الحركات[[#This Row],[من صندوق]],Table1[[الصندوق]:[القيمة الشهرية]],3,0),VLOOKUP(الحركات[إلى صندوق],Table1[],3,0))</f>
        <v>250</v>
      </c>
      <c r="H423" s="22">
        <v>250</v>
      </c>
      <c r="I423" s="22"/>
      <c r="J423" t="s">
        <v>55</v>
      </c>
      <c r="L423" s="26" t="b">
        <f ca="1">AND(الحركات[[#This Row],[مدفوع من شهر]]&lt;=VALUE(TEXT($A$2,"YYYYMM")),الحركات[[#This Row],[الحالة]]="")</f>
        <v>0</v>
      </c>
      <c r="M423" s="2" t="str">
        <f>الحركات[من صندوق]&amp;"/"&amp;الحركات[إلى صندوق]</f>
        <v>الراتب/صيانة السيارة</v>
      </c>
      <c r="N423" s="2" t="str">
        <f>VLOOKUP(الحركات[من صندوق],Table1[],2,0)</f>
        <v>دخل</v>
      </c>
      <c r="O423" s="2" t="str">
        <f>VLOOKUP(الحركات[إلى صندوق],Table1[[الصندوق]:[نوعه]],2,0)</f>
        <v>صرف</v>
      </c>
    </row>
    <row r="424" spans="1:15" x14ac:dyDescent="0.3">
      <c r="A424">
        <v>201909</v>
      </c>
      <c r="B424" s="3"/>
      <c r="C424" t="s">
        <v>18</v>
      </c>
      <c r="D424" s="15">
        <f>VLOOKUP(الحركات[[#This Row],[من صندوق]],Table5[],5,0)</f>
        <v>225</v>
      </c>
      <c r="E424" t="s">
        <v>15</v>
      </c>
      <c r="F424" s="15">
        <f>VLOOKUP(الحركات[[#This Row],[إلى صندوق]],Table5[[الصندوق]:[الرصيد الفعلي]],5,0)</f>
        <v>0</v>
      </c>
      <c r="G424" s="15">
        <f>IF(VLOOKUP(الحركات[إلى صندوق],Table1[],3,0)=0,VLOOKUP(الحركات[[#This Row],[من صندوق]],Table1[[الصندوق]:[القيمة الشهرية]],3,0),VLOOKUP(الحركات[إلى صندوق],Table1[],3,0))</f>
        <v>285</v>
      </c>
      <c r="H424" s="22">
        <v>285</v>
      </c>
      <c r="I424" s="22"/>
      <c r="J424" t="s">
        <v>56</v>
      </c>
      <c r="L424" s="26" t="b">
        <f ca="1">AND(الحركات[[#This Row],[مدفوع من شهر]]&lt;=VALUE(TEXT($A$2,"YYYYMM")),الحركات[[#This Row],[الحالة]]="")</f>
        <v>0</v>
      </c>
      <c r="M424" s="2" t="str">
        <f>الحركات[من صندوق]&amp;"/"&amp;الحركات[إلى صندوق]</f>
        <v>الراتب/ملابس</v>
      </c>
      <c r="N424" s="2" t="str">
        <f>VLOOKUP(الحركات[من صندوق],Table1[],2,0)</f>
        <v>دخل</v>
      </c>
      <c r="O424" s="2" t="str">
        <f>VLOOKUP(الحركات[إلى صندوق],Table1[[الصندوق]:[نوعه]],2,0)</f>
        <v>صرف</v>
      </c>
    </row>
    <row r="425" spans="1:15" x14ac:dyDescent="0.3">
      <c r="A425">
        <v>201909</v>
      </c>
      <c r="B425" s="3"/>
      <c r="C425" t="s">
        <v>18</v>
      </c>
      <c r="D425" s="15">
        <f>VLOOKUP(الحركات[[#This Row],[من صندوق]],Table5[],5,0)</f>
        <v>225</v>
      </c>
      <c r="E425" t="s">
        <v>1</v>
      </c>
      <c r="F425" s="15">
        <f>VLOOKUP(الحركات[[#This Row],[إلى صندوق]],Table5[[الصندوق]:[الرصيد الفعلي]],5,0)</f>
        <v>0</v>
      </c>
      <c r="G425" s="15">
        <f>IF(VLOOKUP(الحركات[إلى صندوق],Table1[],3,0)=0,VLOOKUP(الحركات[[#This Row],[من صندوق]],Table1[[الصندوق]:[القيمة الشهرية]],3,0),VLOOKUP(الحركات[إلى صندوق],Table1[],3,0))</f>
        <v>190</v>
      </c>
      <c r="H425" s="22">
        <v>190</v>
      </c>
      <c r="I425" s="22"/>
      <c r="J425" t="s">
        <v>57</v>
      </c>
      <c r="L425" s="26" t="b">
        <f ca="1">AND(الحركات[[#This Row],[مدفوع من شهر]]&lt;=VALUE(TEXT($A$2,"YYYYMM")),الحركات[[#This Row],[الحالة]]="")</f>
        <v>0</v>
      </c>
      <c r="M425" s="2" t="str">
        <f>الحركات[من صندوق]&amp;"/"&amp;الحركات[إلى صندوق]</f>
        <v>الراتب/هدايا</v>
      </c>
      <c r="N425" s="2" t="str">
        <f>VLOOKUP(الحركات[من صندوق],Table1[],2,0)</f>
        <v>دخل</v>
      </c>
      <c r="O425" s="2" t="str">
        <f>VLOOKUP(الحركات[إلى صندوق],Table1[[الصندوق]:[نوعه]],2,0)</f>
        <v>صرف</v>
      </c>
    </row>
    <row r="426" spans="1:15" x14ac:dyDescent="0.3">
      <c r="A426">
        <v>201909</v>
      </c>
      <c r="B426" s="3"/>
      <c r="C426" t="s">
        <v>18</v>
      </c>
      <c r="D426" s="15">
        <f>VLOOKUP(الحركات[[#This Row],[من صندوق]],Table5[],5,0)</f>
        <v>225</v>
      </c>
      <c r="E426" t="s">
        <v>4</v>
      </c>
      <c r="F426" s="15">
        <f>VLOOKUP(الحركات[[#This Row],[إلى صندوق]],Table5[[الصندوق]:[الرصيد الفعلي]],5,0)</f>
        <v>200</v>
      </c>
      <c r="G426" s="15">
        <f>IF(VLOOKUP(الحركات[إلى صندوق],Table1[],3,0)=0,VLOOKUP(الحركات[[#This Row],[من صندوق]],Table1[[الصندوق]:[القيمة الشهرية]],3,0),VLOOKUP(الحركات[إلى صندوق],Table1[],3,0))</f>
        <v>200</v>
      </c>
      <c r="H426" s="22">
        <v>200</v>
      </c>
      <c r="I426" s="22"/>
      <c r="J426" t="s">
        <v>58</v>
      </c>
      <c r="L426" s="26" t="b">
        <f ca="1">AND(الحركات[[#This Row],[مدفوع من شهر]]&lt;=VALUE(TEXT($A$2,"YYYYMM")),الحركات[[#This Row],[الحالة]]="")</f>
        <v>0</v>
      </c>
      <c r="M426" s="2" t="str">
        <f>الحركات[من صندوق]&amp;"/"&amp;الحركات[إلى صندوق]</f>
        <v>الراتب/طوارئ</v>
      </c>
      <c r="N426" s="2" t="str">
        <f>VLOOKUP(الحركات[من صندوق],Table1[],2,0)</f>
        <v>دخل</v>
      </c>
      <c r="O426" s="2" t="str">
        <f>VLOOKUP(الحركات[إلى صندوق],Table1[[الصندوق]:[نوعه]],2,0)</f>
        <v>صرف</v>
      </c>
    </row>
    <row r="427" spans="1:15" x14ac:dyDescent="0.3">
      <c r="A427">
        <v>201909</v>
      </c>
      <c r="B427" s="3"/>
      <c r="C427" t="s">
        <v>11</v>
      </c>
      <c r="D427" s="15">
        <f>VLOOKUP(الحركات[[#This Row],[من صندوق]],Table5[],5,0)</f>
        <v>0</v>
      </c>
      <c r="E427" t="s">
        <v>14</v>
      </c>
      <c r="F427" s="15">
        <f>VLOOKUP(الحركات[[#This Row],[إلى صندوق]],Table5[[الصندوق]:[الرصيد الفعلي]],5,0)</f>
        <v>5025</v>
      </c>
      <c r="G427" s="15">
        <f>IF(VLOOKUP(الحركات[إلى صندوق],Table1[],3,0)=0,VLOOKUP(الحركات[[#This Row],[من صندوق]],Table1[[الصندوق]:[القيمة الشهرية]],3,0),VLOOKUP(الحركات[إلى صندوق],Table1[],3,0))</f>
        <v>250</v>
      </c>
      <c r="H427" s="22">
        <v>250</v>
      </c>
      <c r="I427" s="22"/>
      <c r="J427" t="s">
        <v>59</v>
      </c>
      <c r="L427" s="26" t="b">
        <f ca="1">AND(الحركات[[#This Row],[مدفوع من شهر]]&lt;=VALUE(TEXT($A$2,"YYYYMM")),الحركات[[#This Row],[الحالة]]="")</f>
        <v>0</v>
      </c>
      <c r="M427" s="2" t="str">
        <f>الحركات[من صندوق]&amp;"/"&amp;الحركات[إلى صندوق]</f>
        <v>فواتير/صرف</v>
      </c>
      <c r="N427" s="2" t="str">
        <f>VLOOKUP(الحركات[من صندوق],Table1[],2,0)</f>
        <v>صرف</v>
      </c>
      <c r="O427" s="2" t="str">
        <f>VLOOKUP(الحركات[إلى صندوق],Table1[[الصندوق]:[نوعه]],2,0)</f>
        <v>خارجي</v>
      </c>
    </row>
    <row r="428" spans="1:15" x14ac:dyDescent="0.3">
      <c r="A428">
        <v>201909</v>
      </c>
      <c r="B428" s="3"/>
      <c r="C428" t="s">
        <v>13</v>
      </c>
      <c r="D428" s="15">
        <f>VLOOKUP(الحركات[[#This Row],[من صندوق]],Table5[],5,0)</f>
        <v>0</v>
      </c>
      <c r="E428" t="s">
        <v>14</v>
      </c>
      <c r="F428" s="15">
        <f>VLOOKUP(الحركات[[#This Row],[إلى صندوق]],Table5[[الصندوق]:[الرصيد الفعلي]],5,0)</f>
        <v>5025</v>
      </c>
      <c r="G428" s="15">
        <f>IF(VLOOKUP(الحركات[إلى صندوق],Table1[],3,0)=0,VLOOKUP(الحركات[[#This Row],[من صندوق]],Table1[[الصندوق]:[القيمة الشهرية]],3,0),VLOOKUP(الحركات[إلى صندوق],Table1[],3,0))</f>
        <v>3800</v>
      </c>
      <c r="H428" s="22">
        <v>3800</v>
      </c>
      <c r="I428" s="22"/>
      <c r="J428" t="s">
        <v>60</v>
      </c>
      <c r="L428" s="26" t="b">
        <f ca="1">AND(الحركات[[#This Row],[مدفوع من شهر]]&lt;=VALUE(TEXT($A$2,"YYYYMM")),الحركات[[#This Row],[الحالة]]="")</f>
        <v>0</v>
      </c>
      <c r="M428" s="2" t="str">
        <f>الحركات[من صندوق]&amp;"/"&amp;الحركات[إلى صندوق]</f>
        <v>مصاريف شهرية/صرف</v>
      </c>
      <c r="N428" s="2" t="str">
        <f>VLOOKUP(الحركات[من صندوق],Table1[],2,0)</f>
        <v>صرف</v>
      </c>
      <c r="O428" s="2" t="str">
        <f>VLOOKUP(الحركات[إلى صندوق],Table1[[الصندوق]:[نوعه]],2,0)</f>
        <v>خارجي</v>
      </c>
    </row>
    <row r="429" spans="1:15" x14ac:dyDescent="0.3">
      <c r="A429">
        <v>201909</v>
      </c>
      <c r="B429" s="3"/>
      <c r="C429" t="s">
        <v>0</v>
      </c>
      <c r="D429" s="15">
        <f>VLOOKUP(الحركات[[#This Row],[من صندوق]],Table5[],5,0)</f>
        <v>0</v>
      </c>
      <c r="E429" t="s">
        <v>14</v>
      </c>
      <c r="F429" s="15">
        <f>VLOOKUP(الحركات[[#This Row],[إلى صندوق]],Table5[[الصندوق]:[الرصيد الفعلي]],5,0)</f>
        <v>5025</v>
      </c>
      <c r="G429" s="15">
        <f>IF(VLOOKUP(الحركات[إلى صندوق],Table1[],3,0)=0,VLOOKUP(الحركات[[#This Row],[من صندوق]],Table1[[الصندوق]:[القيمة الشهرية]],3,0),VLOOKUP(الحركات[إلى صندوق],Table1[],3,0))</f>
        <v>500</v>
      </c>
      <c r="H429" s="22">
        <v>500</v>
      </c>
      <c r="I429" s="22"/>
      <c r="J429" t="s">
        <v>66</v>
      </c>
      <c r="L429" s="26" t="b">
        <f ca="1">AND(الحركات[[#This Row],[مدفوع من شهر]]&lt;=VALUE(TEXT($A$2,"YYYYMM")),الحركات[[#This Row],[الحالة]]="")</f>
        <v>0</v>
      </c>
      <c r="M429" s="2" t="str">
        <f>الحركات[من صندوق]&amp;"/"&amp;الحركات[إلى صندوق]</f>
        <v>توفير/صرف</v>
      </c>
      <c r="N429" s="2" t="str">
        <f>VLOOKUP(الحركات[من صندوق],Table1[],2,0)</f>
        <v>صرف</v>
      </c>
      <c r="O429" s="2" t="str">
        <f>VLOOKUP(الحركات[إلى صندوق],Table1[[الصندوق]:[نوعه]],2,0)</f>
        <v>خارجي</v>
      </c>
    </row>
    <row r="430" spans="1:15" x14ac:dyDescent="0.3">
      <c r="A430">
        <v>201909</v>
      </c>
      <c r="B430" s="3"/>
      <c r="C430" t="s">
        <v>15</v>
      </c>
      <c r="D430" s="15">
        <f>VLOOKUP(الحركات[[#This Row],[من صندوق]],Table5[],5,0)</f>
        <v>0</v>
      </c>
      <c r="E430" t="s">
        <v>14</v>
      </c>
      <c r="F430" s="15">
        <f>VLOOKUP(الحركات[[#This Row],[إلى صندوق]],Table5[[الصندوق]:[الرصيد الفعلي]],5,0)</f>
        <v>5025</v>
      </c>
      <c r="G430" s="15">
        <f>IF(VLOOKUP(الحركات[إلى صندوق],Table1[],3,0)=0,VLOOKUP(الحركات[[#This Row],[من صندوق]],Table1[[الصندوق]:[القيمة الشهرية]],3,0),VLOOKUP(الحركات[إلى صندوق],Table1[],3,0))</f>
        <v>285</v>
      </c>
      <c r="H430" s="22">
        <v>285</v>
      </c>
      <c r="I430" s="22"/>
      <c r="J430" t="s">
        <v>71</v>
      </c>
      <c r="L430" s="26" t="b">
        <f ca="1">AND(الحركات[[#This Row],[مدفوع من شهر]]&lt;=VALUE(TEXT($A$2,"YYYYMM")),الحركات[[#This Row],[الحالة]]="")</f>
        <v>0</v>
      </c>
      <c r="M430" s="2" t="str">
        <f>الحركات[من صندوق]&amp;"/"&amp;الحركات[إلى صندوق]</f>
        <v>ملابس/صرف</v>
      </c>
      <c r="N430" s="2" t="str">
        <f>VLOOKUP(الحركات[من صندوق],Table1[],2,0)</f>
        <v>صرف</v>
      </c>
      <c r="O430" s="2" t="str">
        <f>VLOOKUP(الحركات[إلى صندوق],Table1[[الصندوق]:[نوعه]],2,0)</f>
        <v>خارجي</v>
      </c>
    </row>
    <row r="431" spans="1:15" x14ac:dyDescent="0.3">
      <c r="A431">
        <v>201909</v>
      </c>
      <c r="B431" s="3"/>
      <c r="C431" t="s">
        <v>1</v>
      </c>
      <c r="D431" s="15">
        <f>VLOOKUP(الحركات[[#This Row],[من صندوق]],Table5[],5,0)</f>
        <v>0</v>
      </c>
      <c r="E431" t="s">
        <v>14</v>
      </c>
      <c r="F431" s="15">
        <f>VLOOKUP(الحركات[[#This Row],[إلى صندوق]],Table5[[الصندوق]:[الرصيد الفعلي]],5,0)</f>
        <v>5025</v>
      </c>
      <c r="G431" s="15">
        <f>IF(VLOOKUP(الحركات[إلى صندوق],Table1[],3,0)=0,VLOOKUP(الحركات[[#This Row],[من صندوق]],Table1[[الصندوق]:[القيمة الشهرية]],3,0),VLOOKUP(الحركات[إلى صندوق],Table1[],3,0))</f>
        <v>190</v>
      </c>
      <c r="H431" s="22">
        <v>190</v>
      </c>
      <c r="I431" s="22"/>
      <c r="J431" t="s">
        <v>72</v>
      </c>
      <c r="L431" s="26" t="b">
        <f ca="1">AND(الحركات[[#This Row],[مدفوع من شهر]]&lt;=VALUE(TEXT($A$2,"YYYYMM")),الحركات[[#This Row],[الحالة]]="")</f>
        <v>0</v>
      </c>
      <c r="M431" s="2" t="str">
        <f>الحركات[من صندوق]&amp;"/"&amp;الحركات[إلى صندوق]</f>
        <v>هدايا/صرف</v>
      </c>
      <c r="N431" s="2" t="str">
        <f>VLOOKUP(الحركات[من صندوق],Table1[],2,0)</f>
        <v>صرف</v>
      </c>
      <c r="O431" s="2" t="str">
        <f>VLOOKUP(الحركات[إلى صندوق],Table1[[الصندوق]:[نوعه]],2,0)</f>
        <v>خارجي</v>
      </c>
    </row>
    <row r="432" spans="1:15" x14ac:dyDescent="0.3">
      <c r="A432">
        <v>201910</v>
      </c>
      <c r="B432" s="3"/>
      <c r="C432" t="s">
        <v>20</v>
      </c>
      <c r="D432" s="15">
        <f>VLOOKUP(الحركات[[#This Row],[من صندوق]],Table5[],5,0)</f>
        <v>-10000</v>
      </c>
      <c r="E432" t="s">
        <v>18</v>
      </c>
      <c r="F432" s="15">
        <f>VLOOKUP(الحركات[[#This Row],[إلى صندوق]],Table5[[الصندوق]:[الرصيد الفعلي]],5,0)</f>
        <v>225</v>
      </c>
      <c r="G432" s="15">
        <f>IF(VLOOKUP(الحركات[إلى صندوق],Table1[],3,0)=0,VLOOKUP(الحركات[[#This Row],[من صندوق]],Table1[[الصندوق]:[القيمة الشهرية]],3,0),VLOOKUP(الحركات[إلى صندوق],Table1[],3,0))</f>
        <v>10000</v>
      </c>
      <c r="H432" s="22">
        <v>10000</v>
      </c>
      <c r="I432" s="22"/>
      <c r="J432" t="s">
        <v>40</v>
      </c>
      <c r="L432" s="26" t="b">
        <f ca="1">AND(الحركات[[#This Row],[مدفوع من شهر]]&lt;=VALUE(TEXT($A$2,"YYYYMM")),الحركات[[#This Row],[الحالة]]="")</f>
        <v>0</v>
      </c>
      <c r="M432" s="2" t="str">
        <f>الحركات[من صندوق]&amp;"/"&amp;الحركات[إلى صندوق]</f>
        <v>الشركة/الراتب</v>
      </c>
      <c r="N432" s="2" t="str">
        <f>VLOOKUP(الحركات[من صندوق],Table1[],2,0)</f>
        <v>خارجي</v>
      </c>
      <c r="O432" s="2" t="str">
        <f>VLOOKUP(الحركات[إلى صندوق],Table1[[الصندوق]:[نوعه]],2,0)</f>
        <v>دخل</v>
      </c>
    </row>
    <row r="433" spans="1:15" x14ac:dyDescent="0.3">
      <c r="A433">
        <v>201910</v>
      </c>
      <c r="B433" s="3"/>
      <c r="C433" t="s">
        <v>18</v>
      </c>
      <c r="D433" s="15">
        <f>VLOOKUP(الحركات[[#This Row],[من صندوق]],Table5[],5,0)</f>
        <v>225</v>
      </c>
      <c r="E433" t="s">
        <v>11</v>
      </c>
      <c r="F433" s="15">
        <f>VLOOKUP(الحركات[[#This Row],[إلى صندوق]],Table5[[الصندوق]:[الرصيد الفعلي]],5,0)</f>
        <v>0</v>
      </c>
      <c r="G433" s="15">
        <f>IF(VLOOKUP(الحركات[إلى صندوق],Table1[],3,0)=0,VLOOKUP(الحركات[[#This Row],[من صندوق]],Table1[[الصندوق]:[القيمة الشهرية]],3,0),VLOOKUP(الحركات[إلى صندوق],Table1[],3,0))</f>
        <v>250</v>
      </c>
      <c r="H433" s="22">
        <v>250</v>
      </c>
      <c r="I433" s="22"/>
      <c r="J433" t="s">
        <v>47</v>
      </c>
      <c r="L433" s="26" t="b">
        <f ca="1">AND(الحركات[[#This Row],[مدفوع من شهر]]&lt;=VALUE(TEXT($A$2,"YYYYMM")),الحركات[[#This Row],[الحالة]]="")</f>
        <v>0</v>
      </c>
      <c r="M433" s="2" t="str">
        <f>الحركات[من صندوق]&amp;"/"&amp;الحركات[إلى صندوق]</f>
        <v>الراتب/فواتير</v>
      </c>
      <c r="N433" s="2" t="str">
        <f>VLOOKUP(الحركات[من صندوق],Table1[],2,0)</f>
        <v>دخل</v>
      </c>
      <c r="O433" s="2" t="str">
        <f>VLOOKUP(الحركات[إلى صندوق],Table1[[الصندوق]:[نوعه]],2,0)</f>
        <v>صرف</v>
      </c>
    </row>
    <row r="434" spans="1:15" x14ac:dyDescent="0.3">
      <c r="A434">
        <v>201910</v>
      </c>
      <c r="B434" s="3"/>
      <c r="C434" t="s">
        <v>18</v>
      </c>
      <c r="D434" s="15">
        <f>VLOOKUP(الحركات[[#This Row],[من صندوق]],Table5[],5,0)</f>
        <v>225</v>
      </c>
      <c r="E434" t="s">
        <v>13</v>
      </c>
      <c r="F434" s="15">
        <f>VLOOKUP(الحركات[[#This Row],[إلى صندوق]],Table5[[الصندوق]:[الرصيد الفعلي]],5,0)</f>
        <v>0</v>
      </c>
      <c r="G434" s="15">
        <f>IF(VLOOKUP(الحركات[إلى صندوق],Table1[],3,0)=0,VLOOKUP(الحركات[[#This Row],[من صندوق]],Table1[[الصندوق]:[القيمة الشهرية]],3,0),VLOOKUP(الحركات[إلى صندوق],Table1[],3,0))</f>
        <v>3800</v>
      </c>
      <c r="H434" s="22">
        <v>3800</v>
      </c>
      <c r="I434" s="22"/>
      <c r="J434" t="s">
        <v>48</v>
      </c>
      <c r="L434" s="26" t="b">
        <f ca="1">AND(الحركات[[#This Row],[مدفوع من شهر]]&lt;=VALUE(TEXT($A$2,"YYYYMM")),الحركات[[#This Row],[الحالة]]="")</f>
        <v>0</v>
      </c>
      <c r="M434" s="2" t="str">
        <f>الحركات[من صندوق]&amp;"/"&amp;الحركات[إلى صندوق]</f>
        <v>الراتب/مصاريف شهرية</v>
      </c>
      <c r="N434" s="2" t="str">
        <f>VLOOKUP(الحركات[من صندوق],Table1[],2,0)</f>
        <v>دخل</v>
      </c>
      <c r="O434" s="2" t="str">
        <f>VLOOKUP(الحركات[إلى صندوق],Table1[[الصندوق]:[نوعه]],2,0)</f>
        <v>صرف</v>
      </c>
    </row>
    <row r="435" spans="1:15" x14ac:dyDescent="0.3">
      <c r="A435">
        <v>201910</v>
      </c>
      <c r="B435" s="3"/>
      <c r="C435" t="s">
        <v>18</v>
      </c>
      <c r="D435" s="15">
        <f>VLOOKUP(الحركات[[#This Row],[من صندوق]],Table5[],5,0)</f>
        <v>225</v>
      </c>
      <c r="E435" t="s">
        <v>3</v>
      </c>
      <c r="F435" s="15">
        <f>VLOOKUP(الحركات[[#This Row],[إلى صندوق]],Table5[[الصندوق]:[الرصيد الفعلي]],5,0)</f>
        <v>2000</v>
      </c>
      <c r="G435" s="15">
        <f>IF(VLOOKUP(الحركات[إلى صندوق],Table1[],3,0)=0,VLOOKUP(الحركات[[#This Row],[من صندوق]],Table1[[الصندوق]:[القيمة الشهرية]],3,0),VLOOKUP(الحركات[إلى صندوق],Table1[],3,0))</f>
        <v>2000</v>
      </c>
      <c r="H435" s="22">
        <v>2000</v>
      </c>
      <c r="I435" s="22"/>
      <c r="J435" t="s">
        <v>49</v>
      </c>
      <c r="L435" s="26" t="b">
        <f ca="1">AND(الحركات[[#This Row],[مدفوع من شهر]]&lt;=VALUE(TEXT($A$2,"YYYYMM")),الحركات[[#This Row],[الحالة]]="")</f>
        <v>0</v>
      </c>
      <c r="M435" s="2" t="str">
        <f>الحركات[من صندوق]&amp;"/"&amp;الحركات[إلى صندوق]</f>
        <v>الراتب/مدارس</v>
      </c>
      <c r="N435" s="2" t="str">
        <f>VLOOKUP(الحركات[من صندوق],Table1[],2,0)</f>
        <v>دخل</v>
      </c>
      <c r="O435" s="2" t="str">
        <f>VLOOKUP(الحركات[إلى صندوق],Table1[[الصندوق]:[نوعه]],2,0)</f>
        <v>صرف</v>
      </c>
    </row>
    <row r="436" spans="1:15" x14ac:dyDescent="0.3">
      <c r="A436">
        <v>201910</v>
      </c>
      <c r="B436" s="3"/>
      <c r="C436" t="s">
        <v>18</v>
      </c>
      <c r="D436" s="15">
        <f>VLOOKUP(الحركات[[#This Row],[من صندوق]],Table5[],5,0)</f>
        <v>225</v>
      </c>
      <c r="E436" t="s">
        <v>21</v>
      </c>
      <c r="F436" s="15">
        <f>VLOOKUP(الحركات[[#This Row],[إلى صندوق]],Table5[[الصندوق]:[الرصيد الفعلي]],5,0)</f>
        <v>1500</v>
      </c>
      <c r="G436" s="15">
        <f>IF(VLOOKUP(الحركات[إلى صندوق],Table1[],3,0)=0,VLOOKUP(الحركات[[#This Row],[من صندوق]],Table1[[الصندوق]:[القيمة الشهرية]],3,0),VLOOKUP(الحركات[إلى صندوق],Table1[],3,0))</f>
        <v>1500</v>
      </c>
      <c r="H436" s="22">
        <v>1500</v>
      </c>
      <c r="I436" s="22"/>
      <c r="J436" t="s">
        <v>50</v>
      </c>
      <c r="L436" s="26" t="b">
        <f ca="1">AND(الحركات[[#This Row],[مدفوع من شهر]]&lt;=VALUE(TEXT($A$2,"YYYYMM")),الحركات[[#This Row],[الحالة]]="")</f>
        <v>0</v>
      </c>
      <c r="M436" s="2" t="str">
        <f>الحركات[من صندوق]&amp;"/"&amp;الحركات[إلى صندوق]</f>
        <v>الراتب/ايجار المنزل</v>
      </c>
      <c r="N436" s="2" t="str">
        <f>VLOOKUP(الحركات[من صندوق],Table1[],2,0)</f>
        <v>دخل</v>
      </c>
      <c r="O436" s="2" t="str">
        <f>VLOOKUP(الحركات[إلى صندوق],Table1[[الصندوق]:[نوعه]],2,0)</f>
        <v>صرف</v>
      </c>
    </row>
    <row r="437" spans="1:15" x14ac:dyDescent="0.3">
      <c r="A437">
        <v>201910</v>
      </c>
      <c r="B437" s="3"/>
      <c r="C437" t="s">
        <v>18</v>
      </c>
      <c r="D437" s="15">
        <f>VLOOKUP(الحركات[[#This Row],[من صندوق]],Table5[],5,0)</f>
        <v>225</v>
      </c>
      <c r="E437" t="s">
        <v>0</v>
      </c>
      <c r="F437" s="15">
        <f>VLOOKUP(الحركات[[#This Row],[إلى صندوق]],Table5[[الصندوق]:[الرصيد الفعلي]],5,0)</f>
        <v>0</v>
      </c>
      <c r="G437" s="15">
        <f>IF(VLOOKUP(الحركات[إلى صندوق],Table1[],3,0)=0,VLOOKUP(الحركات[[#This Row],[من صندوق]],Table1[[الصندوق]:[القيمة الشهرية]],3,0),VLOOKUP(الحركات[إلى صندوق],Table1[],3,0))</f>
        <v>500</v>
      </c>
      <c r="H437" s="22">
        <v>500</v>
      </c>
      <c r="I437" s="22"/>
      <c r="J437" t="s">
        <v>51</v>
      </c>
      <c r="L437" s="26" t="b">
        <f ca="1">AND(الحركات[[#This Row],[مدفوع من شهر]]&lt;=VALUE(TEXT($A$2,"YYYYMM")),الحركات[[#This Row],[الحالة]]="")</f>
        <v>0</v>
      </c>
      <c r="M437" s="2" t="str">
        <f>الحركات[من صندوق]&amp;"/"&amp;الحركات[إلى صندوق]</f>
        <v>الراتب/توفير</v>
      </c>
      <c r="N437" s="2" t="str">
        <f>VLOOKUP(الحركات[من صندوق],Table1[],2,0)</f>
        <v>دخل</v>
      </c>
      <c r="O437" s="2" t="str">
        <f>VLOOKUP(الحركات[إلى صندوق],Table1[[الصندوق]:[نوعه]],2,0)</f>
        <v>صرف</v>
      </c>
    </row>
    <row r="438" spans="1:15" x14ac:dyDescent="0.3">
      <c r="A438">
        <v>201910</v>
      </c>
      <c r="B438" s="3"/>
      <c r="C438" t="s">
        <v>18</v>
      </c>
      <c r="D438" s="15">
        <f>VLOOKUP(الحركات[[#This Row],[من صندوق]],Table5[],5,0)</f>
        <v>225</v>
      </c>
      <c r="E438" t="s">
        <v>12</v>
      </c>
      <c r="F438" s="15">
        <f>VLOOKUP(الحركات[[#This Row],[إلى صندوق]],Table5[[الصندوق]:[الرصيد الفعلي]],5,0)</f>
        <v>400</v>
      </c>
      <c r="G438" s="15">
        <f>IF(VLOOKUP(الحركات[إلى صندوق],Table1[],3,0)=0,VLOOKUP(الحركات[[#This Row],[من صندوق]],Table1[[الصندوق]:[القيمة الشهرية]],3,0),VLOOKUP(الحركات[إلى صندوق],Table1[],3,0))</f>
        <v>400</v>
      </c>
      <c r="H438" s="22">
        <v>400</v>
      </c>
      <c r="I438" s="22"/>
      <c r="J438" t="s">
        <v>52</v>
      </c>
      <c r="L438" s="26" t="b">
        <f ca="1">AND(الحركات[[#This Row],[مدفوع من شهر]]&lt;=VALUE(TEXT($A$2,"YYYYMM")),الحركات[[#This Row],[الحالة]]="")</f>
        <v>0</v>
      </c>
      <c r="M438" s="2" t="str">
        <f>الحركات[من صندوق]&amp;"/"&amp;الحركات[إلى صندوق]</f>
        <v>الراتب/اجازات</v>
      </c>
      <c r="N438" s="2" t="str">
        <f>VLOOKUP(الحركات[من صندوق],Table1[],2,0)</f>
        <v>دخل</v>
      </c>
      <c r="O438" s="2" t="str">
        <f>VLOOKUP(الحركات[إلى صندوق],Table1[[الصندوق]:[نوعه]],2,0)</f>
        <v>صرف</v>
      </c>
    </row>
    <row r="439" spans="1:15" x14ac:dyDescent="0.3">
      <c r="A439">
        <v>201910</v>
      </c>
      <c r="B439" s="3"/>
      <c r="C439" t="s">
        <v>18</v>
      </c>
      <c r="D439" s="15">
        <f>VLOOKUP(الحركات[[#This Row],[من صندوق]],Table5[],5,0)</f>
        <v>225</v>
      </c>
      <c r="E439" t="s">
        <v>9</v>
      </c>
      <c r="F439" s="15">
        <f>VLOOKUP(الحركات[[#This Row],[إلى صندوق]],Table5[[الصندوق]:[الرصيد الفعلي]],5,0)</f>
        <v>200</v>
      </c>
      <c r="G439" s="15">
        <f>IF(VLOOKUP(الحركات[إلى صندوق],Table1[],3,0)=0,VLOOKUP(الحركات[[#This Row],[من صندوق]],Table1[[الصندوق]:[القيمة الشهرية]],3,0),VLOOKUP(الحركات[إلى صندوق],Table1[],3,0))</f>
        <v>200</v>
      </c>
      <c r="H439" s="22">
        <v>200</v>
      </c>
      <c r="I439" s="22"/>
      <c r="J439" t="s">
        <v>53</v>
      </c>
      <c r="L439" s="26" t="b">
        <f ca="1">AND(الحركات[[#This Row],[مدفوع من شهر]]&lt;=VALUE(TEXT($A$2,"YYYYMM")),الحركات[[#This Row],[الحالة]]="")</f>
        <v>0</v>
      </c>
      <c r="M439" s="2" t="str">
        <f>الحركات[من صندوق]&amp;"/"&amp;الحركات[إلى صندوق]</f>
        <v>الراتب/دورات</v>
      </c>
      <c r="N439" s="2" t="str">
        <f>VLOOKUP(الحركات[من صندوق],Table1[],2,0)</f>
        <v>دخل</v>
      </c>
      <c r="O439" s="2" t="str">
        <f>VLOOKUP(الحركات[إلى صندوق],Table1[[الصندوق]:[نوعه]],2,0)</f>
        <v>صرف</v>
      </c>
    </row>
    <row r="440" spans="1:15" x14ac:dyDescent="0.3">
      <c r="A440">
        <v>201910</v>
      </c>
      <c r="B440" s="3"/>
      <c r="C440" t="s">
        <v>18</v>
      </c>
      <c r="D440" s="15">
        <f>VLOOKUP(الحركات[[#This Row],[من صندوق]],Table5[],5,0)</f>
        <v>225</v>
      </c>
      <c r="E440" t="s">
        <v>22</v>
      </c>
      <c r="F440" s="15">
        <f>VLOOKUP(الحركات[[#This Row],[إلى صندوق]],Table5[[الصندوق]:[الرصيد الفعلي]],5,0)</f>
        <v>200</v>
      </c>
      <c r="G440" s="15">
        <f>IF(VLOOKUP(الحركات[إلى صندوق],Table1[],3,0)=0,VLOOKUP(الحركات[[#This Row],[من صندوق]],Table1[[الصندوق]:[القيمة الشهرية]],3,0),VLOOKUP(الحركات[إلى صندوق],Table1[],3,0))</f>
        <v>200</v>
      </c>
      <c r="H440" s="22">
        <v>200</v>
      </c>
      <c r="I440" s="22"/>
      <c r="J440" t="s">
        <v>54</v>
      </c>
      <c r="L440" s="26" t="b">
        <f ca="1">AND(الحركات[[#This Row],[مدفوع من شهر]]&lt;=VALUE(TEXT($A$2,"YYYYMM")),الحركات[[#This Row],[الحالة]]="")</f>
        <v>0</v>
      </c>
      <c r="M440" s="2" t="str">
        <f>الحركات[من صندوق]&amp;"/"&amp;الحركات[إلى صندوق]</f>
        <v>الراتب/زكاة</v>
      </c>
      <c r="N440" s="2" t="str">
        <f>VLOOKUP(الحركات[من صندوق],Table1[],2,0)</f>
        <v>دخل</v>
      </c>
      <c r="O440" s="2" t="str">
        <f>VLOOKUP(الحركات[إلى صندوق],Table1[[الصندوق]:[نوعه]],2,0)</f>
        <v>صرف</v>
      </c>
    </row>
    <row r="441" spans="1:15" x14ac:dyDescent="0.3">
      <c r="A441">
        <v>201910</v>
      </c>
      <c r="B441" s="3"/>
      <c r="C441" t="s">
        <v>18</v>
      </c>
      <c r="D441" s="15">
        <f>VLOOKUP(الحركات[[#This Row],[من صندوق]],Table5[],5,0)</f>
        <v>225</v>
      </c>
      <c r="E441" t="s">
        <v>10</v>
      </c>
      <c r="F441" s="15">
        <f>VLOOKUP(الحركات[[#This Row],[إلى صندوق]],Table5[[الصندوق]:[الرصيد الفعلي]],5,0)</f>
        <v>250</v>
      </c>
      <c r="G441" s="15">
        <f>IF(VLOOKUP(الحركات[إلى صندوق],Table1[],3,0)=0,VLOOKUP(الحركات[[#This Row],[من صندوق]],Table1[[الصندوق]:[القيمة الشهرية]],3,0),VLOOKUP(الحركات[إلى صندوق],Table1[],3,0))</f>
        <v>250</v>
      </c>
      <c r="H441" s="22">
        <v>250</v>
      </c>
      <c r="I441" s="22"/>
      <c r="J441" t="s">
        <v>55</v>
      </c>
      <c r="L441" s="26" t="b">
        <f ca="1">AND(الحركات[[#This Row],[مدفوع من شهر]]&lt;=VALUE(TEXT($A$2,"YYYYMM")),الحركات[[#This Row],[الحالة]]="")</f>
        <v>0</v>
      </c>
      <c r="M441" s="2" t="str">
        <f>الحركات[من صندوق]&amp;"/"&amp;الحركات[إلى صندوق]</f>
        <v>الراتب/صيانة السيارة</v>
      </c>
      <c r="N441" s="2" t="str">
        <f>VLOOKUP(الحركات[من صندوق],Table1[],2,0)</f>
        <v>دخل</v>
      </c>
      <c r="O441" s="2" t="str">
        <f>VLOOKUP(الحركات[إلى صندوق],Table1[[الصندوق]:[نوعه]],2,0)</f>
        <v>صرف</v>
      </c>
    </row>
    <row r="442" spans="1:15" x14ac:dyDescent="0.3">
      <c r="A442">
        <v>201910</v>
      </c>
      <c r="B442" s="3"/>
      <c r="C442" t="s">
        <v>18</v>
      </c>
      <c r="D442" s="15">
        <f>VLOOKUP(الحركات[[#This Row],[من صندوق]],Table5[],5,0)</f>
        <v>225</v>
      </c>
      <c r="E442" t="s">
        <v>15</v>
      </c>
      <c r="F442" s="15">
        <f>VLOOKUP(الحركات[[#This Row],[إلى صندوق]],Table5[[الصندوق]:[الرصيد الفعلي]],5,0)</f>
        <v>0</v>
      </c>
      <c r="G442" s="15">
        <f>IF(VLOOKUP(الحركات[إلى صندوق],Table1[],3,0)=0,VLOOKUP(الحركات[[#This Row],[من صندوق]],Table1[[الصندوق]:[القيمة الشهرية]],3,0),VLOOKUP(الحركات[إلى صندوق],Table1[],3,0))</f>
        <v>285</v>
      </c>
      <c r="H442" s="22">
        <v>285</v>
      </c>
      <c r="I442" s="22"/>
      <c r="J442" t="s">
        <v>56</v>
      </c>
      <c r="L442" s="26" t="b">
        <f ca="1">AND(الحركات[[#This Row],[مدفوع من شهر]]&lt;=VALUE(TEXT($A$2,"YYYYMM")),الحركات[[#This Row],[الحالة]]="")</f>
        <v>0</v>
      </c>
      <c r="M442" s="2" t="str">
        <f>الحركات[من صندوق]&amp;"/"&amp;الحركات[إلى صندوق]</f>
        <v>الراتب/ملابس</v>
      </c>
      <c r="N442" s="2" t="str">
        <f>VLOOKUP(الحركات[من صندوق],Table1[],2,0)</f>
        <v>دخل</v>
      </c>
      <c r="O442" s="2" t="str">
        <f>VLOOKUP(الحركات[إلى صندوق],Table1[[الصندوق]:[نوعه]],2,0)</f>
        <v>صرف</v>
      </c>
    </row>
    <row r="443" spans="1:15" x14ac:dyDescent="0.3">
      <c r="A443">
        <v>201910</v>
      </c>
      <c r="B443" s="3"/>
      <c r="C443" t="s">
        <v>18</v>
      </c>
      <c r="D443" s="15">
        <f>VLOOKUP(الحركات[[#This Row],[من صندوق]],Table5[],5,0)</f>
        <v>225</v>
      </c>
      <c r="E443" t="s">
        <v>1</v>
      </c>
      <c r="F443" s="15">
        <f>VLOOKUP(الحركات[[#This Row],[إلى صندوق]],Table5[[الصندوق]:[الرصيد الفعلي]],5,0)</f>
        <v>0</v>
      </c>
      <c r="G443" s="15">
        <f>IF(VLOOKUP(الحركات[إلى صندوق],Table1[],3,0)=0,VLOOKUP(الحركات[[#This Row],[من صندوق]],Table1[[الصندوق]:[القيمة الشهرية]],3,0),VLOOKUP(الحركات[إلى صندوق],Table1[],3,0))</f>
        <v>190</v>
      </c>
      <c r="H443" s="22">
        <v>190</v>
      </c>
      <c r="I443" s="22"/>
      <c r="J443" t="s">
        <v>57</v>
      </c>
      <c r="L443" s="26" t="b">
        <f ca="1">AND(الحركات[[#This Row],[مدفوع من شهر]]&lt;=VALUE(TEXT($A$2,"YYYYMM")),الحركات[[#This Row],[الحالة]]="")</f>
        <v>0</v>
      </c>
      <c r="M443" s="2" t="str">
        <f>الحركات[من صندوق]&amp;"/"&amp;الحركات[إلى صندوق]</f>
        <v>الراتب/هدايا</v>
      </c>
      <c r="N443" s="2" t="str">
        <f>VLOOKUP(الحركات[من صندوق],Table1[],2,0)</f>
        <v>دخل</v>
      </c>
      <c r="O443" s="2" t="str">
        <f>VLOOKUP(الحركات[إلى صندوق],Table1[[الصندوق]:[نوعه]],2,0)</f>
        <v>صرف</v>
      </c>
    </row>
    <row r="444" spans="1:15" x14ac:dyDescent="0.3">
      <c r="A444">
        <v>201910</v>
      </c>
      <c r="B444" s="3"/>
      <c r="C444" t="s">
        <v>18</v>
      </c>
      <c r="D444" s="15">
        <f>VLOOKUP(الحركات[[#This Row],[من صندوق]],Table5[],5,0)</f>
        <v>225</v>
      </c>
      <c r="E444" t="s">
        <v>4</v>
      </c>
      <c r="F444" s="15">
        <f>VLOOKUP(الحركات[[#This Row],[إلى صندوق]],Table5[[الصندوق]:[الرصيد الفعلي]],5,0)</f>
        <v>200</v>
      </c>
      <c r="G444" s="15">
        <f>IF(VLOOKUP(الحركات[إلى صندوق],Table1[],3,0)=0,VLOOKUP(الحركات[[#This Row],[من صندوق]],Table1[[الصندوق]:[القيمة الشهرية]],3,0),VLOOKUP(الحركات[إلى صندوق],Table1[],3,0))</f>
        <v>200</v>
      </c>
      <c r="H444" s="22">
        <v>200</v>
      </c>
      <c r="I444" s="22"/>
      <c r="J444" t="s">
        <v>58</v>
      </c>
      <c r="L444" s="26" t="b">
        <f ca="1">AND(الحركات[[#This Row],[مدفوع من شهر]]&lt;=VALUE(TEXT($A$2,"YYYYMM")),الحركات[[#This Row],[الحالة]]="")</f>
        <v>0</v>
      </c>
      <c r="M444" s="2" t="str">
        <f>الحركات[من صندوق]&amp;"/"&amp;الحركات[إلى صندوق]</f>
        <v>الراتب/طوارئ</v>
      </c>
      <c r="N444" s="2" t="str">
        <f>VLOOKUP(الحركات[من صندوق],Table1[],2,0)</f>
        <v>دخل</v>
      </c>
      <c r="O444" s="2" t="str">
        <f>VLOOKUP(الحركات[إلى صندوق],Table1[[الصندوق]:[نوعه]],2,0)</f>
        <v>صرف</v>
      </c>
    </row>
    <row r="445" spans="1:15" x14ac:dyDescent="0.3">
      <c r="A445">
        <v>201910</v>
      </c>
      <c r="B445" s="3"/>
      <c r="C445" t="s">
        <v>11</v>
      </c>
      <c r="D445" s="15">
        <f>VLOOKUP(الحركات[[#This Row],[من صندوق]],Table5[],5,0)</f>
        <v>0</v>
      </c>
      <c r="E445" t="s">
        <v>14</v>
      </c>
      <c r="F445" s="15">
        <f>VLOOKUP(الحركات[[#This Row],[إلى صندوق]],Table5[[الصندوق]:[الرصيد الفعلي]],5,0)</f>
        <v>5025</v>
      </c>
      <c r="G445" s="15">
        <f>IF(VLOOKUP(الحركات[إلى صندوق],Table1[],3,0)=0,VLOOKUP(الحركات[[#This Row],[من صندوق]],Table1[[الصندوق]:[القيمة الشهرية]],3,0),VLOOKUP(الحركات[إلى صندوق],Table1[],3,0))</f>
        <v>250</v>
      </c>
      <c r="H445" s="22">
        <v>250</v>
      </c>
      <c r="I445" s="22"/>
      <c r="J445" t="s">
        <v>59</v>
      </c>
      <c r="L445" s="26" t="b">
        <f ca="1">AND(الحركات[[#This Row],[مدفوع من شهر]]&lt;=VALUE(TEXT($A$2,"YYYYMM")),الحركات[[#This Row],[الحالة]]="")</f>
        <v>0</v>
      </c>
      <c r="M445" s="2" t="str">
        <f>الحركات[من صندوق]&amp;"/"&amp;الحركات[إلى صندوق]</f>
        <v>فواتير/صرف</v>
      </c>
      <c r="N445" s="2" t="str">
        <f>VLOOKUP(الحركات[من صندوق],Table1[],2,0)</f>
        <v>صرف</v>
      </c>
      <c r="O445" s="2" t="str">
        <f>VLOOKUP(الحركات[إلى صندوق],Table1[[الصندوق]:[نوعه]],2,0)</f>
        <v>خارجي</v>
      </c>
    </row>
    <row r="446" spans="1:15" x14ac:dyDescent="0.3">
      <c r="A446">
        <v>201910</v>
      </c>
      <c r="B446" s="3"/>
      <c r="C446" t="s">
        <v>13</v>
      </c>
      <c r="D446" s="15">
        <f>VLOOKUP(الحركات[[#This Row],[من صندوق]],Table5[],5,0)</f>
        <v>0</v>
      </c>
      <c r="E446" t="s">
        <v>14</v>
      </c>
      <c r="F446" s="15">
        <f>VLOOKUP(الحركات[[#This Row],[إلى صندوق]],Table5[[الصندوق]:[الرصيد الفعلي]],5,0)</f>
        <v>5025</v>
      </c>
      <c r="G446" s="15">
        <f>IF(VLOOKUP(الحركات[إلى صندوق],Table1[],3,0)=0,VLOOKUP(الحركات[[#This Row],[من صندوق]],Table1[[الصندوق]:[القيمة الشهرية]],3,0),VLOOKUP(الحركات[إلى صندوق],Table1[],3,0))</f>
        <v>3800</v>
      </c>
      <c r="H446" s="22">
        <v>3800</v>
      </c>
      <c r="I446" s="22"/>
      <c r="J446" t="s">
        <v>60</v>
      </c>
      <c r="L446" s="26" t="b">
        <f ca="1">AND(الحركات[[#This Row],[مدفوع من شهر]]&lt;=VALUE(TEXT($A$2,"YYYYMM")),الحركات[[#This Row],[الحالة]]="")</f>
        <v>0</v>
      </c>
      <c r="M446" s="2" t="str">
        <f>الحركات[من صندوق]&amp;"/"&amp;الحركات[إلى صندوق]</f>
        <v>مصاريف شهرية/صرف</v>
      </c>
      <c r="N446" s="2" t="str">
        <f>VLOOKUP(الحركات[من صندوق],Table1[],2,0)</f>
        <v>صرف</v>
      </c>
      <c r="O446" s="2" t="str">
        <f>VLOOKUP(الحركات[إلى صندوق],Table1[[الصندوق]:[نوعه]],2,0)</f>
        <v>خارجي</v>
      </c>
    </row>
    <row r="447" spans="1:15" x14ac:dyDescent="0.3">
      <c r="A447">
        <v>201910</v>
      </c>
      <c r="B447" s="3"/>
      <c r="C447" t="s">
        <v>21</v>
      </c>
      <c r="D447" s="15">
        <f>VLOOKUP(الحركات[[#This Row],[من صندوق]],Table5[],5,0)</f>
        <v>1500</v>
      </c>
      <c r="E447" t="s">
        <v>14</v>
      </c>
      <c r="F447" s="15">
        <f>VLOOKUP(الحركات[[#This Row],[إلى صندوق]],Table5[[الصندوق]:[الرصيد الفعلي]],5,0)</f>
        <v>5025</v>
      </c>
      <c r="G447" s="15">
        <f>IF(VLOOKUP(الحركات[إلى صندوق],Table1[],3,0)=0,VLOOKUP(الحركات[[#This Row],[من صندوق]],Table1[[الصندوق]:[القيمة الشهرية]],3,0),VLOOKUP(الحركات[إلى صندوق],Table1[],3,0))</f>
        <v>1500</v>
      </c>
      <c r="H447" s="22">
        <v>9000</v>
      </c>
      <c r="I447" s="22"/>
      <c r="J447" t="s">
        <v>65</v>
      </c>
      <c r="L447" s="26" t="b">
        <f ca="1">AND(الحركات[[#This Row],[مدفوع من شهر]]&lt;=VALUE(TEXT($A$2,"YYYYMM")),الحركات[[#This Row],[الحالة]]="")</f>
        <v>0</v>
      </c>
      <c r="M447" s="2" t="str">
        <f>الحركات[من صندوق]&amp;"/"&amp;الحركات[إلى صندوق]</f>
        <v>ايجار المنزل/صرف</v>
      </c>
      <c r="N447" s="2" t="str">
        <f>VLOOKUP(الحركات[من صندوق],Table1[],2,0)</f>
        <v>صرف</v>
      </c>
      <c r="O447" s="2" t="str">
        <f>VLOOKUP(الحركات[إلى صندوق],Table1[[الصندوق]:[نوعه]],2,0)</f>
        <v>خارجي</v>
      </c>
    </row>
    <row r="448" spans="1:15" x14ac:dyDescent="0.3">
      <c r="A448">
        <v>201910</v>
      </c>
      <c r="B448" s="3"/>
      <c r="C448" t="s">
        <v>0</v>
      </c>
      <c r="D448" s="15">
        <f>VLOOKUP(الحركات[[#This Row],[من صندوق]],Table5[],5,0)</f>
        <v>0</v>
      </c>
      <c r="E448" t="s">
        <v>14</v>
      </c>
      <c r="F448" s="15">
        <f>VLOOKUP(الحركات[[#This Row],[إلى صندوق]],Table5[[الصندوق]:[الرصيد الفعلي]],5,0)</f>
        <v>5025</v>
      </c>
      <c r="G448" s="15">
        <f>IF(VLOOKUP(الحركات[إلى صندوق],Table1[],3,0)=0,VLOOKUP(الحركات[[#This Row],[من صندوق]],Table1[[الصندوق]:[القيمة الشهرية]],3,0),VLOOKUP(الحركات[إلى صندوق],Table1[],3,0))</f>
        <v>500</v>
      </c>
      <c r="H448" s="22">
        <v>500</v>
      </c>
      <c r="I448" s="22"/>
      <c r="J448" t="s">
        <v>66</v>
      </c>
      <c r="L448" s="26" t="b">
        <f ca="1">AND(الحركات[[#This Row],[مدفوع من شهر]]&lt;=VALUE(TEXT($A$2,"YYYYMM")),الحركات[[#This Row],[الحالة]]="")</f>
        <v>0</v>
      </c>
      <c r="M448" s="2" t="str">
        <f>الحركات[من صندوق]&amp;"/"&amp;الحركات[إلى صندوق]</f>
        <v>توفير/صرف</v>
      </c>
      <c r="N448" s="2" t="str">
        <f>VLOOKUP(الحركات[من صندوق],Table1[],2,0)</f>
        <v>صرف</v>
      </c>
      <c r="O448" s="2" t="str">
        <f>VLOOKUP(الحركات[إلى صندوق],Table1[[الصندوق]:[نوعه]],2,0)</f>
        <v>خارجي</v>
      </c>
    </row>
    <row r="449" spans="1:15" x14ac:dyDescent="0.3">
      <c r="A449">
        <v>201910</v>
      </c>
      <c r="B449" s="3"/>
      <c r="C449" t="s">
        <v>9</v>
      </c>
      <c r="D449" s="15">
        <f>VLOOKUP(الحركات[[#This Row],[من صندوق]],Table5[],5,0)</f>
        <v>200</v>
      </c>
      <c r="E449" t="s">
        <v>14</v>
      </c>
      <c r="F449" s="15">
        <f>VLOOKUP(الحركات[[#This Row],[إلى صندوق]],Table5[[الصندوق]:[الرصيد الفعلي]],5,0)</f>
        <v>5025</v>
      </c>
      <c r="G449" s="15">
        <f>IF(VLOOKUP(الحركات[إلى صندوق],Table1[],3,0)=0,VLOOKUP(الحركات[[#This Row],[من صندوق]],Table1[[الصندوق]:[القيمة الشهرية]],3,0),VLOOKUP(الحركات[إلى صندوق],Table1[],3,0))</f>
        <v>200</v>
      </c>
      <c r="H449" s="22">
        <v>2400</v>
      </c>
      <c r="I449" s="22"/>
      <c r="J449" t="s">
        <v>68</v>
      </c>
      <c r="L449" s="26" t="b">
        <f ca="1">AND(الحركات[[#This Row],[مدفوع من شهر]]&lt;=VALUE(TEXT($A$2,"YYYYMM")),الحركات[[#This Row],[الحالة]]="")</f>
        <v>0</v>
      </c>
      <c r="M449" s="2" t="str">
        <f>الحركات[من صندوق]&amp;"/"&amp;الحركات[إلى صندوق]</f>
        <v>دورات/صرف</v>
      </c>
      <c r="N449" s="2" t="str">
        <f>VLOOKUP(الحركات[من صندوق],Table1[],2,0)</f>
        <v>صرف</v>
      </c>
      <c r="O449" s="2" t="str">
        <f>VLOOKUP(الحركات[إلى صندوق],Table1[[الصندوق]:[نوعه]],2,0)</f>
        <v>خارجي</v>
      </c>
    </row>
    <row r="450" spans="1:15" x14ac:dyDescent="0.3">
      <c r="A450">
        <v>201910</v>
      </c>
      <c r="B450" s="3"/>
      <c r="C450" t="s">
        <v>15</v>
      </c>
      <c r="D450" s="15">
        <f>VLOOKUP(الحركات[[#This Row],[من صندوق]],Table5[],5,0)</f>
        <v>0</v>
      </c>
      <c r="E450" t="s">
        <v>14</v>
      </c>
      <c r="F450" s="15">
        <f>VLOOKUP(الحركات[[#This Row],[إلى صندوق]],Table5[[الصندوق]:[الرصيد الفعلي]],5,0)</f>
        <v>5025</v>
      </c>
      <c r="G450" s="15">
        <f>IF(VLOOKUP(الحركات[إلى صندوق],Table1[],3,0)=0,VLOOKUP(الحركات[[#This Row],[من صندوق]],Table1[[الصندوق]:[القيمة الشهرية]],3,0),VLOOKUP(الحركات[إلى صندوق],Table1[],3,0))</f>
        <v>285</v>
      </c>
      <c r="H450" s="22">
        <v>285</v>
      </c>
      <c r="I450" s="22"/>
      <c r="J450" t="s">
        <v>71</v>
      </c>
      <c r="L450" s="26" t="b">
        <f ca="1">AND(الحركات[[#This Row],[مدفوع من شهر]]&lt;=VALUE(TEXT($A$2,"YYYYMM")),الحركات[[#This Row],[الحالة]]="")</f>
        <v>0</v>
      </c>
      <c r="M450" s="2" t="str">
        <f>الحركات[من صندوق]&amp;"/"&amp;الحركات[إلى صندوق]</f>
        <v>ملابس/صرف</v>
      </c>
      <c r="N450" s="2" t="str">
        <f>VLOOKUP(الحركات[من صندوق],Table1[],2,0)</f>
        <v>صرف</v>
      </c>
      <c r="O450" s="2" t="str">
        <f>VLOOKUP(الحركات[إلى صندوق],Table1[[الصندوق]:[نوعه]],2,0)</f>
        <v>خارجي</v>
      </c>
    </row>
    <row r="451" spans="1:15" x14ac:dyDescent="0.3">
      <c r="A451">
        <v>201910</v>
      </c>
      <c r="B451" s="3"/>
      <c r="C451" t="s">
        <v>1</v>
      </c>
      <c r="D451" s="15">
        <f>VLOOKUP(الحركات[[#This Row],[من صندوق]],Table5[],5,0)</f>
        <v>0</v>
      </c>
      <c r="E451" t="s">
        <v>14</v>
      </c>
      <c r="F451" s="15">
        <f>VLOOKUP(الحركات[[#This Row],[إلى صندوق]],Table5[[الصندوق]:[الرصيد الفعلي]],5,0)</f>
        <v>5025</v>
      </c>
      <c r="G451" s="15">
        <f>IF(VLOOKUP(الحركات[إلى صندوق],Table1[],3,0)=0,VLOOKUP(الحركات[[#This Row],[من صندوق]],Table1[[الصندوق]:[القيمة الشهرية]],3,0),VLOOKUP(الحركات[إلى صندوق],Table1[],3,0))</f>
        <v>190</v>
      </c>
      <c r="H451" s="22">
        <v>190</v>
      </c>
      <c r="I451" s="22"/>
      <c r="J451" t="s">
        <v>72</v>
      </c>
      <c r="L451" s="26" t="b">
        <f ca="1">AND(الحركات[[#This Row],[مدفوع من شهر]]&lt;=VALUE(TEXT($A$2,"YYYYMM")),الحركات[[#This Row],[الحالة]]="")</f>
        <v>0</v>
      </c>
      <c r="M451" s="2" t="str">
        <f>الحركات[من صندوق]&amp;"/"&amp;الحركات[إلى صندوق]</f>
        <v>هدايا/صرف</v>
      </c>
      <c r="N451" s="2" t="str">
        <f>VLOOKUP(الحركات[من صندوق],Table1[],2,0)</f>
        <v>صرف</v>
      </c>
      <c r="O451" s="2" t="str">
        <f>VLOOKUP(الحركات[إلى صندوق],Table1[[الصندوق]:[نوعه]],2,0)</f>
        <v>خارجي</v>
      </c>
    </row>
    <row r="452" spans="1:15" x14ac:dyDescent="0.3">
      <c r="A452">
        <v>201911</v>
      </c>
      <c r="B452" s="3"/>
      <c r="C452" t="s">
        <v>20</v>
      </c>
      <c r="D452" s="15">
        <f>VLOOKUP(الحركات[[#This Row],[من صندوق]],Table5[],5,0)</f>
        <v>-10000</v>
      </c>
      <c r="E452" t="s">
        <v>18</v>
      </c>
      <c r="F452" s="15">
        <f>VLOOKUP(الحركات[[#This Row],[إلى صندوق]],Table5[[الصندوق]:[الرصيد الفعلي]],5,0)</f>
        <v>225</v>
      </c>
      <c r="G452" s="15">
        <f>IF(VLOOKUP(الحركات[إلى صندوق],Table1[],3,0)=0,VLOOKUP(الحركات[[#This Row],[من صندوق]],Table1[[الصندوق]:[القيمة الشهرية]],3,0),VLOOKUP(الحركات[إلى صندوق],Table1[],3,0))</f>
        <v>10000</v>
      </c>
      <c r="H452" s="22">
        <v>10000</v>
      </c>
      <c r="I452" s="22"/>
      <c r="J452" t="s">
        <v>40</v>
      </c>
      <c r="L452" s="26" t="b">
        <f ca="1">AND(الحركات[[#This Row],[مدفوع من شهر]]&lt;=VALUE(TEXT($A$2,"YYYYMM")),الحركات[[#This Row],[الحالة]]="")</f>
        <v>0</v>
      </c>
      <c r="M452" s="2" t="str">
        <f>الحركات[من صندوق]&amp;"/"&amp;الحركات[إلى صندوق]</f>
        <v>الشركة/الراتب</v>
      </c>
      <c r="N452" s="2" t="str">
        <f>VLOOKUP(الحركات[من صندوق],Table1[],2,0)</f>
        <v>خارجي</v>
      </c>
      <c r="O452" s="2" t="str">
        <f>VLOOKUP(الحركات[إلى صندوق],Table1[[الصندوق]:[نوعه]],2,0)</f>
        <v>دخل</v>
      </c>
    </row>
    <row r="453" spans="1:15" x14ac:dyDescent="0.3">
      <c r="A453">
        <v>201911</v>
      </c>
      <c r="B453" s="3"/>
      <c r="C453" t="s">
        <v>18</v>
      </c>
      <c r="D453" s="15">
        <f>VLOOKUP(الحركات[[#This Row],[من صندوق]],Table5[],5,0)</f>
        <v>225</v>
      </c>
      <c r="E453" t="s">
        <v>11</v>
      </c>
      <c r="F453" s="15">
        <f>VLOOKUP(الحركات[[#This Row],[إلى صندوق]],Table5[[الصندوق]:[الرصيد الفعلي]],5,0)</f>
        <v>0</v>
      </c>
      <c r="G453" s="15">
        <f>IF(VLOOKUP(الحركات[إلى صندوق],Table1[],3,0)=0,VLOOKUP(الحركات[[#This Row],[من صندوق]],Table1[[الصندوق]:[القيمة الشهرية]],3,0),VLOOKUP(الحركات[إلى صندوق],Table1[],3,0))</f>
        <v>250</v>
      </c>
      <c r="H453" s="22">
        <v>250</v>
      </c>
      <c r="I453" s="22"/>
      <c r="J453" t="s">
        <v>47</v>
      </c>
      <c r="L453" s="26" t="b">
        <f ca="1">AND(الحركات[[#This Row],[مدفوع من شهر]]&lt;=VALUE(TEXT($A$2,"YYYYMM")),الحركات[[#This Row],[الحالة]]="")</f>
        <v>0</v>
      </c>
      <c r="M453" s="2" t="str">
        <f>الحركات[من صندوق]&amp;"/"&amp;الحركات[إلى صندوق]</f>
        <v>الراتب/فواتير</v>
      </c>
      <c r="N453" s="2" t="str">
        <f>VLOOKUP(الحركات[من صندوق],Table1[],2,0)</f>
        <v>دخل</v>
      </c>
      <c r="O453" s="2" t="str">
        <f>VLOOKUP(الحركات[إلى صندوق],Table1[[الصندوق]:[نوعه]],2,0)</f>
        <v>صرف</v>
      </c>
    </row>
    <row r="454" spans="1:15" x14ac:dyDescent="0.3">
      <c r="A454">
        <v>201911</v>
      </c>
      <c r="B454" s="3"/>
      <c r="C454" t="s">
        <v>18</v>
      </c>
      <c r="D454" s="15">
        <f>VLOOKUP(الحركات[[#This Row],[من صندوق]],Table5[],5,0)</f>
        <v>225</v>
      </c>
      <c r="E454" t="s">
        <v>13</v>
      </c>
      <c r="F454" s="15">
        <f>VLOOKUP(الحركات[[#This Row],[إلى صندوق]],Table5[[الصندوق]:[الرصيد الفعلي]],5,0)</f>
        <v>0</v>
      </c>
      <c r="G454" s="15">
        <f>IF(VLOOKUP(الحركات[إلى صندوق],Table1[],3,0)=0,VLOOKUP(الحركات[[#This Row],[من صندوق]],Table1[[الصندوق]:[القيمة الشهرية]],3,0),VLOOKUP(الحركات[إلى صندوق],Table1[],3,0))</f>
        <v>3800</v>
      </c>
      <c r="H454" s="22">
        <v>3800</v>
      </c>
      <c r="I454" s="22"/>
      <c r="J454" t="s">
        <v>48</v>
      </c>
      <c r="L454" s="26" t="b">
        <f ca="1">AND(الحركات[[#This Row],[مدفوع من شهر]]&lt;=VALUE(TEXT($A$2,"YYYYMM")),الحركات[[#This Row],[الحالة]]="")</f>
        <v>0</v>
      </c>
      <c r="M454" s="2" t="str">
        <f>الحركات[من صندوق]&amp;"/"&amp;الحركات[إلى صندوق]</f>
        <v>الراتب/مصاريف شهرية</v>
      </c>
      <c r="N454" s="2" t="str">
        <f>VLOOKUP(الحركات[من صندوق],Table1[],2,0)</f>
        <v>دخل</v>
      </c>
      <c r="O454" s="2" t="str">
        <f>VLOOKUP(الحركات[إلى صندوق],Table1[[الصندوق]:[نوعه]],2,0)</f>
        <v>صرف</v>
      </c>
    </row>
    <row r="455" spans="1:15" x14ac:dyDescent="0.3">
      <c r="A455">
        <v>201911</v>
      </c>
      <c r="B455" s="3"/>
      <c r="C455" t="s">
        <v>18</v>
      </c>
      <c r="D455" s="15">
        <f>VLOOKUP(الحركات[[#This Row],[من صندوق]],Table5[],5,0)</f>
        <v>225</v>
      </c>
      <c r="E455" t="s">
        <v>3</v>
      </c>
      <c r="F455" s="15">
        <f>VLOOKUP(الحركات[[#This Row],[إلى صندوق]],Table5[[الصندوق]:[الرصيد الفعلي]],5,0)</f>
        <v>2000</v>
      </c>
      <c r="G455" s="15">
        <f>IF(VLOOKUP(الحركات[إلى صندوق],Table1[],3,0)=0,VLOOKUP(الحركات[[#This Row],[من صندوق]],Table1[[الصندوق]:[القيمة الشهرية]],3,0),VLOOKUP(الحركات[إلى صندوق],Table1[],3,0))</f>
        <v>2000</v>
      </c>
      <c r="H455" s="22">
        <v>2000</v>
      </c>
      <c r="I455" s="22"/>
      <c r="J455" t="s">
        <v>49</v>
      </c>
      <c r="L455" s="26" t="b">
        <f ca="1">AND(الحركات[[#This Row],[مدفوع من شهر]]&lt;=VALUE(TEXT($A$2,"YYYYMM")),الحركات[[#This Row],[الحالة]]="")</f>
        <v>0</v>
      </c>
      <c r="M455" s="2" t="str">
        <f>الحركات[من صندوق]&amp;"/"&amp;الحركات[إلى صندوق]</f>
        <v>الراتب/مدارس</v>
      </c>
      <c r="N455" s="2" t="str">
        <f>VLOOKUP(الحركات[من صندوق],Table1[],2,0)</f>
        <v>دخل</v>
      </c>
      <c r="O455" s="2" t="str">
        <f>VLOOKUP(الحركات[إلى صندوق],Table1[[الصندوق]:[نوعه]],2,0)</f>
        <v>صرف</v>
      </c>
    </row>
    <row r="456" spans="1:15" x14ac:dyDescent="0.3">
      <c r="A456">
        <v>201911</v>
      </c>
      <c r="B456" s="3"/>
      <c r="C456" t="s">
        <v>18</v>
      </c>
      <c r="D456" s="15">
        <f>VLOOKUP(الحركات[[#This Row],[من صندوق]],Table5[],5,0)</f>
        <v>225</v>
      </c>
      <c r="E456" t="s">
        <v>21</v>
      </c>
      <c r="F456" s="15">
        <f>VLOOKUP(الحركات[[#This Row],[إلى صندوق]],Table5[[الصندوق]:[الرصيد الفعلي]],5,0)</f>
        <v>1500</v>
      </c>
      <c r="G456" s="15">
        <f>IF(VLOOKUP(الحركات[إلى صندوق],Table1[],3,0)=0,VLOOKUP(الحركات[[#This Row],[من صندوق]],Table1[[الصندوق]:[القيمة الشهرية]],3,0),VLOOKUP(الحركات[إلى صندوق],Table1[],3,0))</f>
        <v>1500</v>
      </c>
      <c r="H456" s="22">
        <v>1500</v>
      </c>
      <c r="I456" s="22"/>
      <c r="J456" t="s">
        <v>50</v>
      </c>
      <c r="L456" s="26" t="b">
        <f ca="1">AND(الحركات[[#This Row],[مدفوع من شهر]]&lt;=VALUE(TEXT($A$2,"YYYYMM")),الحركات[[#This Row],[الحالة]]="")</f>
        <v>0</v>
      </c>
      <c r="M456" s="2" t="str">
        <f>الحركات[من صندوق]&amp;"/"&amp;الحركات[إلى صندوق]</f>
        <v>الراتب/ايجار المنزل</v>
      </c>
      <c r="N456" s="2" t="str">
        <f>VLOOKUP(الحركات[من صندوق],Table1[],2,0)</f>
        <v>دخل</v>
      </c>
      <c r="O456" s="2" t="str">
        <f>VLOOKUP(الحركات[إلى صندوق],Table1[[الصندوق]:[نوعه]],2,0)</f>
        <v>صرف</v>
      </c>
    </row>
    <row r="457" spans="1:15" x14ac:dyDescent="0.3">
      <c r="A457">
        <v>201911</v>
      </c>
      <c r="B457" s="3"/>
      <c r="C457" t="s">
        <v>18</v>
      </c>
      <c r="D457" s="15">
        <f>VLOOKUP(الحركات[[#This Row],[من صندوق]],Table5[],5,0)</f>
        <v>225</v>
      </c>
      <c r="E457" t="s">
        <v>0</v>
      </c>
      <c r="F457" s="15">
        <f>VLOOKUP(الحركات[[#This Row],[إلى صندوق]],Table5[[الصندوق]:[الرصيد الفعلي]],5,0)</f>
        <v>0</v>
      </c>
      <c r="G457" s="15">
        <f>IF(VLOOKUP(الحركات[إلى صندوق],Table1[],3,0)=0,VLOOKUP(الحركات[[#This Row],[من صندوق]],Table1[[الصندوق]:[القيمة الشهرية]],3,0),VLOOKUP(الحركات[إلى صندوق],Table1[],3,0))</f>
        <v>500</v>
      </c>
      <c r="H457" s="22">
        <v>500</v>
      </c>
      <c r="I457" s="22"/>
      <c r="J457" t="s">
        <v>51</v>
      </c>
      <c r="L457" s="26" t="b">
        <f ca="1">AND(الحركات[[#This Row],[مدفوع من شهر]]&lt;=VALUE(TEXT($A$2,"YYYYMM")),الحركات[[#This Row],[الحالة]]="")</f>
        <v>0</v>
      </c>
      <c r="M457" s="2" t="str">
        <f>الحركات[من صندوق]&amp;"/"&amp;الحركات[إلى صندوق]</f>
        <v>الراتب/توفير</v>
      </c>
      <c r="N457" s="2" t="str">
        <f>VLOOKUP(الحركات[من صندوق],Table1[],2,0)</f>
        <v>دخل</v>
      </c>
      <c r="O457" s="2" t="str">
        <f>VLOOKUP(الحركات[إلى صندوق],Table1[[الصندوق]:[نوعه]],2,0)</f>
        <v>صرف</v>
      </c>
    </row>
    <row r="458" spans="1:15" x14ac:dyDescent="0.3">
      <c r="A458">
        <v>201911</v>
      </c>
      <c r="B458" s="3"/>
      <c r="C458" t="s">
        <v>18</v>
      </c>
      <c r="D458" s="15">
        <f>VLOOKUP(الحركات[[#This Row],[من صندوق]],Table5[],5,0)</f>
        <v>225</v>
      </c>
      <c r="E458" t="s">
        <v>12</v>
      </c>
      <c r="F458" s="15">
        <f>VLOOKUP(الحركات[[#This Row],[إلى صندوق]],Table5[[الصندوق]:[الرصيد الفعلي]],5,0)</f>
        <v>400</v>
      </c>
      <c r="G458" s="15">
        <f>IF(VLOOKUP(الحركات[إلى صندوق],Table1[],3,0)=0,VLOOKUP(الحركات[[#This Row],[من صندوق]],Table1[[الصندوق]:[القيمة الشهرية]],3,0),VLOOKUP(الحركات[إلى صندوق],Table1[],3,0))</f>
        <v>400</v>
      </c>
      <c r="H458" s="22">
        <v>400</v>
      </c>
      <c r="I458" s="22"/>
      <c r="J458" t="s">
        <v>52</v>
      </c>
      <c r="L458" s="26" t="b">
        <f ca="1">AND(الحركات[[#This Row],[مدفوع من شهر]]&lt;=VALUE(TEXT($A$2,"YYYYMM")),الحركات[[#This Row],[الحالة]]="")</f>
        <v>0</v>
      </c>
      <c r="M458" s="2" t="str">
        <f>الحركات[من صندوق]&amp;"/"&amp;الحركات[إلى صندوق]</f>
        <v>الراتب/اجازات</v>
      </c>
      <c r="N458" s="2" t="str">
        <f>VLOOKUP(الحركات[من صندوق],Table1[],2,0)</f>
        <v>دخل</v>
      </c>
      <c r="O458" s="2" t="str">
        <f>VLOOKUP(الحركات[إلى صندوق],Table1[[الصندوق]:[نوعه]],2,0)</f>
        <v>صرف</v>
      </c>
    </row>
    <row r="459" spans="1:15" x14ac:dyDescent="0.3">
      <c r="A459">
        <v>201911</v>
      </c>
      <c r="B459" s="3"/>
      <c r="C459" t="s">
        <v>18</v>
      </c>
      <c r="D459" s="15">
        <f>VLOOKUP(الحركات[[#This Row],[من صندوق]],Table5[],5,0)</f>
        <v>225</v>
      </c>
      <c r="E459" t="s">
        <v>9</v>
      </c>
      <c r="F459" s="15">
        <f>VLOOKUP(الحركات[[#This Row],[إلى صندوق]],Table5[[الصندوق]:[الرصيد الفعلي]],5,0)</f>
        <v>200</v>
      </c>
      <c r="G459" s="15">
        <f>IF(VLOOKUP(الحركات[إلى صندوق],Table1[],3,0)=0,VLOOKUP(الحركات[[#This Row],[من صندوق]],Table1[[الصندوق]:[القيمة الشهرية]],3,0),VLOOKUP(الحركات[إلى صندوق],Table1[],3,0))</f>
        <v>200</v>
      </c>
      <c r="H459" s="22">
        <v>200</v>
      </c>
      <c r="I459" s="22"/>
      <c r="J459" t="s">
        <v>53</v>
      </c>
      <c r="L459" s="26" t="b">
        <f ca="1">AND(الحركات[[#This Row],[مدفوع من شهر]]&lt;=VALUE(TEXT($A$2,"YYYYMM")),الحركات[[#This Row],[الحالة]]="")</f>
        <v>0</v>
      </c>
      <c r="M459" s="2" t="str">
        <f>الحركات[من صندوق]&amp;"/"&amp;الحركات[إلى صندوق]</f>
        <v>الراتب/دورات</v>
      </c>
      <c r="N459" s="2" t="str">
        <f>VLOOKUP(الحركات[من صندوق],Table1[],2,0)</f>
        <v>دخل</v>
      </c>
      <c r="O459" s="2" t="str">
        <f>VLOOKUP(الحركات[إلى صندوق],Table1[[الصندوق]:[نوعه]],2,0)</f>
        <v>صرف</v>
      </c>
    </row>
    <row r="460" spans="1:15" x14ac:dyDescent="0.3">
      <c r="A460">
        <v>201911</v>
      </c>
      <c r="B460" s="3"/>
      <c r="C460" t="s">
        <v>18</v>
      </c>
      <c r="D460" s="15">
        <f>VLOOKUP(الحركات[[#This Row],[من صندوق]],Table5[],5,0)</f>
        <v>225</v>
      </c>
      <c r="E460" t="s">
        <v>22</v>
      </c>
      <c r="F460" s="15">
        <f>VLOOKUP(الحركات[[#This Row],[إلى صندوق]],Table5[[الصندوق]:[الرصيد الفعلي]],5,0)</f>
        <v>200</v>
      </c>
      <c r="G460" s="15">
        <f>IF(VLOOKUP(الحركات[إلى صندوق],Table1[],3,0)=0,VLOOKUP(الحركات[[#This Row],[من صندوق]],Table1[[الصندوق]:[القيمة الشهرية]],3,0),VLOOKUP(الحركات[إلى صندوق],Table1[],3,0))</f>
        <v>200</v>
      </c>
      <c r="H460" s="22">
        <v>200</v>
      </c>
      <c r="I460" s="22"/>
      <c r="J460" t="s">
        <v>54</v>
      </c>
      <c r="L460" s="26" t="b">
        <f ca="1">AND(الحركات[[#This Row],[مدفوع من شهر]]&lt;=VALUE(TEXT($A$2,"YYYYMM")),الحركات[[#This Row],[الحالة]]="")</f>
        <v>0</v>
      </c>
      <c r="M460" s="2" t="str">
        <f>الحركات[من صندوق]&amp;"/"&amp;الحركات[إلى صندوق]</f>
        <v>الراتب/زكاة</v>
      </c>
      <c r="N460" s="2" t="str">
        <f>VLOOKUP(الحركات[من صندوق],Table1[],2,0)</f>
        <v>دخل</v>
      </c>
      <c r="O460" s="2" t="str">
        <f>VLOOKUP(الحركات[إلى صندوق],Table1[[الصندوق]:[نوعه]],2,0)</f>
        <v>صرف</v>
      </c>
    </row>
    <row r="461" spans="1:15" x14ac:dyDescent="0.3">
      <c r="A461">
        <v>201911</v>
      </c>
      <c r="B461" s="3"/>
      <c r="C461" t="s">
        <v>18</v>
      </c>
      <c r="D461" s="15">
        <f>VLOOKUP(الحركات[[#This Row],[من صندوق]],Table5[],5,0)</f>
        <v>225</v>
      </c>
      <c r="E461" t="s">
        <v>10</v>
      </c>
      <c r="F461" s="15">
        <f>VLOOKUP(الحركات[[#This Row],[إلى صندوق]],Table5[[الصندوق]:[الرصيد الفعلي]],5,0)</f>
        <v>250</v>
      </c>
      <c r="G461" s="15">
        <f>IF(VLOOKUP(الحركات[إلى صندوق],Table1[],3,0)=0,VLOOKUP(الحركات[[#This Row],[من صندوق]],Table1[[الصندوق]:[القيمة الشهرية]],3,0),VLOOKUP(الحركات[إلى صندوق],Table1[],3,0))</f>
        <v>250</v>
      </c>
      <c r="H461" s="22">
        <v>250</v>
      </c>
      <c r="I461" s="22"/>
      <c r="J461" t="s">
        <v>55</v>
      </c>
      <c r="L461" s="26" t="b">
        <f ca="1">AND(الحركات[[#This Row],[مدفوع من شهر]]&lt;=VALUE(TEXT($A$2,"YYYYMM")),الحركات[[#This Row],[الحالة]]="")</f>
        <v>0</v>
      </c>
      <c r="M461" s="2" t="str">
        <f>الحركات[من صندوق]&amp;"/"&amp;الحركات[إلى صندوق]</f>
        <v>الراتب/صيانة السيارة</v>
      </c>
      <c r="N461" s="2" t="str">
        <f>VLOOKUP(الحركات[من صندوق],Table1[],2,0)</f>
        <v>دخل</v>
      </c>
      <c r="O461" s="2" t="str">
        <f>VLOOKUP(الحركات[إلى صندوق],Table1[[الصندوق]:[نوعه]],2,0)</f>
        <v>صرف</v>
      </c>
    </row>
    <row r="462" spans="1:15" x14ac:dyDescent="0.3">
      <c r="A462">
        <v>201911</v>
      </c>
      <c r="B462" s="3"/>
      <c r="C462" t="s">
        <v>18</v>
      </c>
      <c r="D462" s="15">
        <f>VLOOKUP(الحركات[[#This Row],[من صندوق]],Table5[],5,0)</f>
        <v>225</v>
      </c>
      <c r="E462" t="s">
        <v>15</v>
      </c>
      <c r="F462" s="15">
        <f>VLOOKUP(الحركات[[#This Row],[إلى صندوق]],Table5[[الصندوق]:[الرصيد الفعلي]],5,0)</f>
        <v>0</v>
      </c>
      <c r="G462" s="15">
        <f>IF(VLOOKUP(الحركات[إلى صندوق],Table1[],3,0)=0,VLOOKUP(الحركات[[#This Row],[من صندوق]],Table1[[الصندوق]:[القيمة الشهرية]],3,0),VLOOKUP(الحركات[إلى صندوق],Table1[],3,0))</f>
        <v>285</v>
      </c>
      <c r="H462" s="22">
        <v>285</v>
      </c>
      <c r="I462" s="22"/>
      <c r="J462" t="s">
        <v>56</v>
      </c>
      <c r="L462" s="26" t="b">
        <f ca="1">AND(الحركات[[#This Row],[مدفوع من شهر]]&lt;=VALUE(TEXT($A$2,"YYYYMM")),الحركات[[#This Row],[الحالة]]="")</f>
        <v>0</v>
      </c>
      <c r="M462" s="2" t="str">
        <f>الحركات[من صندوق]&amp;"/"&amp;الحركات[إلى صندوق]</f>
        <v>الراتب/ملابس</v>
      </c>
      <c r="N462" s="2" t="str">
        <f>VLOOKUP(الحركات[من صندوق],Table1[],2,0)</f>
        <v>دخل</v>
      </c>
      <c r="O462" s="2" t="str">
        <f>VLOOKUP(الحركات[إلى صندوق],Table1[[الصندوق]:[نوعه]],2,0)</f>
        <v>صرف</v>
      </c>
    </row>
    <row r="463" spans="1:15" x14ac:dyDescent="0.3">
      <c r="A463">
        <v>201911</v>
      </c>
      <c r="B463" s="3"/>
      <c r="C463" t="s">
        <v>18</v>
      </c>
      <c r="D463" s="15">
        <f>VLOOKUP(الحركات[[#This Row],[من صندوق]],Table5[],5,0)</f>
        <v>225</v>
      </c>
      <c r="E463" t="s">
        <v>1</v>
      </c>
      <c r="F463" s="15">
        <f>VLOOKUP(الحركات[[#This Row],[إلى صندوق]],Table5[[الصندوق]:[الرصيد الفعلي]],5,0)</f>
        <v>0</v>
      </c>
      <c r="G463" s="15">
        <f>IF(VLOOKUP(الحركات[إلى صندوق],Table1[],3,0)=0,VLOOKUP(الحركات[[#This Row],[من صندوق]],Table1[[الصندوق]:[القيمة الشهرية]],3,0),VLOOKUP(الحركات[إلى صندوق],Table1[],3,0))</f>
        <v>190</v>
      </c>
      <c r="H463" s="22">
        <v>190</v>
      </c>
      <c r="I463" s="22"/>
      <c r="J463" t="s">
        <v>57</v>
      </c>
      <c r="L463" s="26" t="b">
        <f ca="1">AND(الحركات[[#This Row],[مدفوع من شهر]]&lt;=VALUE(TEXT($A$2,"YYYYMM")),الحركات[[#This Row],[الحالة]]="")</f>
        <v>0</v>
      </c>
      <c r="M463" s="2" t="str">
        <f>الحركات[من صندوق]&amp;"/"&amp;الحركات[إلى صندوق]</f>
        <v>الراتب/هدايا</v>
      </c>
      <c r="N463" s="2" t="str">
        <f>VLOOKUP(الحركات[من صندوق],Table1[],2,0)</f>
        <v>دخل</v>
      </c>
      <c r="O463" s="2" t="str">
        <f>VLOOKUP(الحركات[إلى صندوق],Table1[[الصندوق]:[نوعه]],2,0)</f>
        <v>صرف</v>
      </c>
    </row>
    <row r="464" spans="1:15" x14ac:dyDescent="0.3">
      <c r="A464">
        <v>201911</v>
      </c>
      <c r="B464" s="3"/>
      <c r="C464" t="s">
        <v>18</v>
      </c>
      <c r="D464" s="15">
        <f>VLOOKUP(الحركات[[#This Row],[من صندوق]],Table5[],5,0)</f>
        <v>225</v>
      </c>
      <c r="E464" t="s">
        <v>4</v>
      </c>
      <c r="F464" s="15">
        <f>VLOOKUP(الحركات[[#This Row],[إلى صندوق]],Table5[[الصندوق]:[الرصيد الفعلي]],5,0)</f>
        <v>200</v>
      </c>
      <c r="G464" s="15">
        <f>IF(VLOOKUP(الحركات[إلى صندوق],Table1[],3,0)=0,VLOOKUP(الحركات[[#This Row],[من صندوق]],Table1[[الصندوق]:[القيمة الشهرية]],3,0),VLOOKUP(الحركات[إلى صندوق],Table1[],3,0))</f>
        <v>200</v>
      </c>
      <c r="H464" s="22">
        <v>200</v>
      </c>
      <c r="I464" s="22"/>
      <c r="J464" t="s">
        <v>58</v>
      </c>
      <c r="L464" s="26" t="b">
        <f ca="1">AND(الحركات[[#This Row],[مدفوع من شهر]]&lt;=VALUE(TEXT($A$2,"YYYYMM")),الحركات[[#This Row],[الحالة]]="")</f>
        <v>0</v>
      </c>
      <c r="M464" s="2" t="str">
        <f>الحركات[من صندوق]&amp;"/"&amp;الحركات[إلى صندوق]</f>
        <v>الراتب/طوارئ</v>
      </c>
      <c r="N464" s="2" t="str">
        <f>VLOOKUP(الحركات[من صندوق],Table1[],2,0)</f>
        <v>دخل</v>
      </c>
      <c r="O464" s="2" t="str">
        <f>VLOOKUP(الحركات[إلى صندوق],Table1[[الصندوق]:[نوعه]],2,0)</f>
        <v>صرف</v>
      </c>
    </row>
    <row r="465" spans="1:15" x14ac:dyDescent="0.3">
      <c r="A465">
        <v>201911</v>
      </c>
      <c r="B465" s="3"/>
      <c r="C465" t="s">
        <v>11</v>
      </c>
      <c r="D465" s="15">
        <f>VLOOKUP(الحركات[[#This Row],[من صندوق]],Table5[],5,0)</f>
        <v>0</v>
      </c>
      <c r="E465" t="s">
        <v>14</v>
      </c>
      <c r="F465" s="15">
        <f>VLOOKUP(الحركات[[#This Row],[إلى صندوق]],Table5[[الصندوق]:[الرصيد الفعلي]],5,0)</f>
        <v>5025</v>
      </c>
      <c r="G465" s="15">
        <f>IF(VLOOKUP(الحركات[إلى صندوق],Table1[],3,0)=0,VLOOKUP(الحركات[[#This Row],[من صندوق]],Table1[[الصندوق]:[القيمة الشهرية]],3,0),VLOOKUP(الحركات[إلى صندوق],Table1[],3,0))</f>
        <v>250</v>
      </c>
      <c r="H465" s="22">
        <v>250</v>
      </c>
      <c r="I465" s="22"/>
      <c r="J465" t="s">
        <v>59</v>
      </c>
      <c r="L465" s="26" t="b">
        <f ca="1">AND(الحركات[[#This Row],[مدفوع من شهر]]&lt;=VALUE(TEXT($A$2,"YYYYMM")),الحركات[[#This Row],[الحالة]]="")</f>
        <v>0</v>
      </c>
      <c r="M465" s="2" t="str">
        <f>الحركات[من صندوق]&amp;"/"&amp;الحركات[إلى صندوق]</f>
        <v>فواتير/صرف</v>
      </c>
      <c r="N465" s="2" t="str">
        <f>VLOOKUP(الحركات[من صندوق],Table1[],2,0)</f>
        <v>صرف</v>
      </c>
      <c r="O465" s="2" t="str">
        <f>VLOOKUP(الحركات[إلى صندوق],Table1[[الصندوق]:[نوعه]],2,0)</f>
        <v>خارجي</v>
      </c>
    </row>
    <row r="466" spans="1:15" x14ac:dyDescent="0.3">
      <c r="A466">
        <v>201911</v>
      </c>
      <c r="B466" s="3"/>
      <c r="C466" t="s">
        <v>13</v>
      </c>
      <c r="D466" s="15">
        <f>VLOOKUP(الحركات[[#This Row],[من صندوق]],Table5[],5,0)</f>
        <v>0</v>
      </c>
      <c r="E466" t="s">
        <v>14</v>
      </c>
      <c r="F466" s="15">
        <f>VLOOKUP(الحركات[[#This Row],[إلى صندوق]],Table5[[الصندوق]:[الرصيد الفعلي]],5,0)</f>
        <v>5025</v>
      </c>
      <c r="G466" s="15">
        <f>IF(VLOOKUP(الحركات[إلى صندوق],Table1[],3,0)=0,VLOOKUP(الحركات[[#This Row],[من صندوق]],Table1[[الصندوق]:[القيمة الشهرية]],3,0),VLOOKUP(الحركات[إلى صندوق],Table1[],3,0))</f>
        <v>3800</v>
      </c>
      <c r="H466" s="22">
        <v>3800</v>
      </c>
      <c r="I466" s="22"/>
      <c r="J466" t="s">
        <v>60</v>
      </c>
      <c r="L466" s="26" t="b">
        <f ca="1">AND(الحركات[[#This Row],[مدفوع من شهر]]&lt;=VALUE(TEXT($A$2,"YYYYMM")),الحركات[[#This Row],[الحالة]]="")</f>
        <v>0</v>
      </c>
      <c r="M466" s="2" t="str">
        <f>الحركات[من صندوق]&amp;"/"&amp;الحركات[إلى صندوق]</f>
        <v>مصاريف شهرية/صرف</v>
      </c>
      <c r="N466" s="2" t="str">
        <f>VLOOKUP(الحركات[من صندوق],Table1[],2,0)</f>
        <v>صرف</v>
      </c>
      <c r="O466" s="2" t="str">
        <f>VLOOKUP(الحركات[إلى صندوق],Table1[[الصندوق]:[نوعه]],2,0)</f>
        <v>خارجي</v>
      </c>
    </row>
    <row r="467" spans="1:15" x14ac:dyDescent="0.3">
      <c r="A467">
        <v>201911</v>
      </c>
      <c r="B467" s="3"/>
      <c r="C467" t="s">
        <v>3</v>
      </c>
      <c r="D467" s="15">
        <f>VLOOKUP(الحركات[[#This Row],[من صندوق]],Table5[],5,0)</f>
        <v>2000</v>
      </c>
      <c r="E467" t="s">
        <v>14</v>
      </c>
      <c r="F467" s="15">
        <f>VLOOKUP(الحركات[[#This Row],[إلى صندوق]],Table5[[الصندوق]:[الرصيد الفعلي]],5,0)</f>
        <v>5025</v>
      </c>
      <c r="G467" s="15">
        <f>IF(VLOOKUP(الحركات[إلى صندوق],Table1[],3,0)=0,VLOOKUP(الحركات[[#This Row],[من صندوق]],Table1[[الصندوق]:[القيمة الشهرية]],3,0),VLOOKUP(الحركات[إلى صندوق],Table1[],3,0))</f>
        <v>2000</v>
      </c>
      <c r="H467" s="22">
        <v>8000</v>
      </c>
      <c r="I467" s="22"/>
      <c r="J467" t="s">
        <v>63</v>
      </c>
      <c r="L467" s="26" t="b">
        <f ca="1">AND(الحركات[[#This Row],[مدفوع من شهر]]&lt;=VALUE(TEXT($A$2,"YYYYMM")),الحركات[[#This Row],[الحالة]]="")</f>
        <v>0</v>
      </c>
      <c r="M467" s="2" t="str">
        <f>الحركات[من صندوق]&amp;"/"&amp;الحركات[إلى صندوق]</f>
        <v>مدارس/صرف</v>
      </c>
      <c r="N467" s="2" t="str">
        <f>VLOOKUP(الحركات[من صندوق],Table1[],2,0)</f>
        <v>صرف</v>
      </c>
      <c r="O467" s="2" t="str">
        <f>VLOOKUP(الحركات[إلى صندوق],Table1[[الصندوق]:[نوعه]],2,0)</f>
        <v>خارجي</v>
      </c>
    </row>
    <row r="468" spans="1:15" x14ac:dyDescent="0.3">
      <c r="A468">
        <v>201911</v>
      </c>
      <c r="B468" s="3"/>
      <c r="C468" t="s">
        <v>0</v>
      </c>
      <c r="D468" s="15">
        <f>VLOOKUP(الحركات[[#This Row],[من صندوق]],Table5[],5,0)</f>
        <v>0</v>
      </c>
      <c r="E468" t="s">
        <v>14</v>
      </c>
      <c r="F468" s="15">
        <f>VLOOKUP(الحركات[[#This Row],[إلى صندوق]],Table5[[الصندوق]:[الرصيد الفعلي]],5,0)</f>
        <v>5025</v>
      </c>
      <c r="G468" s="15">
        <f>IF(VLOOKUP(الحركات[إلى صندوق],Table1[],3,0)=0,VLOOKUP(الحركات[[#This Row],[من صندوق]],Table1[[الصندوق]:[القيمة الشهرية]],3,0),VLOOKUP(الحركات[إلى صندوق],Table1[],3,0))</f>
        <v>500</v>
      </c>
      <c r="H468" s="22">
        <v>500</v>
      </c>
      <c r="I468" s="22"/>
      <c r="J468" t="s">
        <v>66</v>
      </c>
      <c r="L468" s="26" t="b">
        <f ca="1">AND(الحركات[[#This Row],[مدفوع من شهر]]&lt;=VALUE(TEXT($A$2,"YYYYMM")),الحركات[[#This Row],[الحالة]]="")</f>
        <v>0</v>
      </c>
      <c r="M468" s="2" t="str">
        <f>الحركات[من صندوق]&amp;"/"&amp;الحركات[إلى صندوق]</f>
        <v>توفير/صرف</v>
      </c>
      <c r="N468" s="2" t="str">
        <f>VLOOKUP(الحركات[من صندوق],Table1[],2,0)</f>
        <v>صرف</v>
      </c>
      <c r="O468" s="2" t="str">
        <f>VLOOKUP(الحركات[إلى صندوق],Table1[[الصندوق]:[نوعه]],2,0)</f>
        <v>خارجي</v>
      </c>
    </row>
    <row r="469" spans="1:15" x14ac:dyDescent="0.3">
      <c r="A469">
        <v>201911</v>
      </c>
      <c r="B469" s="3"/>
      <c r="C469" t="s">
        <v>15</v>
      </c>
      <c r="D469" s="15">
        <f>VLOOKUP(الحركات[[#This Row],[من صندوق]],Table5[],5,0)</f>
        <v>0</v>
      </c>
      <c r="E469" t="s">
        <v>14</v>
      </c>
      <c r="F469" s="15">
        <f>VLOOKUP(الحركات[[#This Row],[إلى صندوق]],Table5[[الصندوق]:[الرصيد الفعلي]],5,0)</f>
        <v>5025</v>
      </c>
      <c r="G469" s="15">
        <f>IF(VLOOKUP(الحركات[إلى صندوق],Table1[],3,0)=0,VLOOKUP(الحركات[[#This Row],[من صندوق]],Table1[[الصندوق]:[القيمة الشهرية]],3,0),VLOOKUP(الحركات[إلى صندوق],Table1[],3,0))</f>
        <v>285</v>
      </c>
      <c r="H469" s="22">
        <v>285</v>
      </c>
      <c r="I469" s="22"/>
      <c r="J469" t="s">
        <v>71</v>
      </c>
      <c r="L469" s="26" t="b">
        <f ca="1">AND(الحركات[[#This Row],[مدفوع من شهر]]&lt;=VALUE(TEXT($A$2,"YYYYMM")),الحركات[[#This Row],[الحالة]]="")</f>
        <v>0</v>
      </c>
      <c r="M469" s="2" t="str">
        <f>الحركات[من صندوق]&amp;"/"&amp;الحركات[إلى صندوق]</f>
        <v>ملابس/صرف</v>
      </c>
      <c r="N469" s="2" t="str">
        <f>VLOOKUP(الحركات[من صندوق],Table1[],2,0)</f>
        <v>صرف</v>
      </c>
      <c r="O469" s="2" t="str">
        <f>VLOOKUP(الحركات[إلى صندوق],Table1[[الصندوق]:[نوعه]],2,0)</f>
        <v>خارجي</v>
      </c>
    </row>
    <row r="470" spans="1:15" x14ac:dyDescent="0.3">
      <c r="A470">
        <v>201911</v>
      </c>
      <c r="B470" s="3"/>
      <c r="C470" t="s">
        <v>1</v>
      </c>
      <c r="D470" s="15">
        <f>VLOOKUP(الحركات[[#This Row],[من صندوق]],Table5[],5,0)</f>
        <v>0</v>
      </c>
      <c r="E470" t="s">
        <v>14</v>
      </c>
      <c r="F470" s="15">
        <f>VLOOKUP(الحركات[[#This Row],[إلى صندوق]],Table5[[الصندوق]:[الرصيد الفعلي]],5,0)</f>
        <v>5025</v>
      </c>
      <c r="G470" s="15">
        <f>IF(VLOOKUP(الحركات[إلى صندوق],Table1[],3,0)=0,VLOOKUP(الحركات[[#This Row],[من صندوق]],Table1[[الصندوق]:[القيمة الشهرية]],3,0),VLOOKUP(الحركات[إلى صندوق],Table1[],3,0))</f>
        <v>190</v>
      </c>
      <c r="H470" s="22">
        <v>190</v>
      </c>
      <c r="I470" s="22"/>
      <c r="J470" t="s">
        <v>72</v>
      </c>
      <c r="L470" s="26" t="b">
        <f ca="1">AND(الحركات[[#This Row],[مدفوع من شهر]]&lt;=VALUE(TEXT($A$2,"YYYYMM")),الحركات[[#This Row],[الحالة]]="")</f>
        <v>0</v>
      </c>
      <c r="M470" s="2" t="str">
        <f>الحركات[من صندوق]&amp;"/"&amp;الحركات[إلى صندوق]</f>
        <v>هدايا/صرف</v>
      </c>
      <c r="N470" s="2" t="str">
        <f>VLOOKUP(الحركات[من صندوق],Table1[],2,0)</f>
        <v>صرف</v>
      </c>
      <c r="O470" s="2" t="str">
        <f>VLOOKUP(الحركات[إلى صندوق],Table1[[الصندوق]:[نوعه]],2,0)</f>
        <v>خارجي</v>
      </c>
    </row>
    <row r="471" spans="1:15" x14ac:dyDescent="0.3">
      <c r="A471">
        <v>201912</v>
      </c>
      <c r="B471" s="3"/>
      <c r="C471" t="s">
        <v>20</v>
      </c>
      <c r="D471" s="15">
        <f>VLOOKUP(الحركات[[#This Row],[من صندوق]],Table5[],5,0)</f>
        <v>-10000</v>
      </c>
      <c r="E471" t="s">
        <v>18</v>
      </c>
      <c r="F471" s="15">
        <f>VLOOKUP(الحركات[[#This Row],[إلى صندوق]],Table5[[الصندوق]:[الرصيد الفعلي]],5,0)</f>
        <v>225</v>
      </c>
      <c r="G471" s="15">
        <f>IF(VLOOKUP(الحركات[إلى صندوق],Table1[],3,0)=0,VLOOKUP(الحركات[[#This Row],[من صندوق]],Table1[[الصندوق]:[القيمة الشهرية]],3,0),VLOOKUP(الحركات[إلى صندوق],Table1[],3,0))</f>
        <v>10000</v>
      </c>
      <c r="H471" s="22">
        <v>10000</v>
      </c>
      <c r="I471" s="22"/>
      <c r="J471" t="s">
        <v>40</v>
      </c>
      <c r="L471" s="26" t="b">
        <f ca="1">AND(الحركات[[#This Row],[مدفوع من شهر]]&lt;=VALUE(TEXT($A$2,"YYYYMM")),الحركات[[#This Row],[الحالة]]="")</f>
        <v>0</v>
      </c>
      <c r="M471" s="2" t="str">
        <f>الحركات[من صندوق]&amp;"/"&amp;الحركات[إلى صندوق]</f>
        <v>الشركة/الراتب</v>
      </c>
      <c r="N471" s="2" t="str">
        <f>VLOOKUP(الحركات[من صندوق],Table1[],2,0)</f>
        <v>خارجي</v>
      </c>
      <c r="O471" s="2" t="str">
        <f>VLOOKUP(الحركات[إلى صندوق],Table1[[الصندوق]:[نوعه]],2,0)</f>
        <v>دخل</v>
      </c>
    </row>
    <row r="472" spans="1:15" x14ac:dyDescent="0.3">
      <c r="A472">
        <v>201912</v>
      </c>
      <c r="B472" s="3"/>
      <c r="C472" t="s">
        <v>18</v>
      </c>
      <c r="D472" s="15">
        <f>VLOOKUP(الحركات[[#This Row],[من صندوق]],Table5[],5,0)</f>
        <v>225</v>
      </c>
      <c r="E472" t="s">
        <v>11</v>
      </c>
      <c r="F472" s="15">
        <f>VLOOKUP(الحركات[[#This Row],[إلى صندوق]],Table5[[الصندوق]:[الرصيد الفعلي]],5,0)</f>
        <v>0</v>
      </c>
      <c r="G472" s="15">
        <f>IF(VLOOKUP(الحركات[إلى صندوق],Table1[],3,0)=0,VLOOKUP(الحركات[[#This Row],[من صندوق]],Table1[[الصندوق]:[القيمة الشهرية]],3,0),VLOOKUP(الحركات[إلى صندوق],Table1[],3,0))</f>
        <v>250</v>
      </c>
      <c r="H472" s="22">
        <v>250</v>
      </c>
      <c r="I472" s="22"/>
      <c r="J472" t="s">
        <v>47</v>
      </c>
      <c r="L472" s="26" t="b">
        <f ca="1">AND(الحركات[[#This Row],[مدفوع من شهر]]&lt;=VALUE(TEXT($A$2,"YYYYMM")),الحركات[[#This Row],[الحالة]]="")</f>
        <v>0</v>
      </c>
      <c r="M472" s="2" t="str">
        <f>الحركات[من صندوق]&amp;"/"&amp;الحركات[إلى صندوق]</f>
        <v>الراتب/فواتير</v>
      </c>
      <c r="N472" s="2" t="str">
        <f>VLOOKUP(الحركات[من صندوق],Table1[],2,0)</f>
        <v>دخل</v>
      </c>
      <c r="O472" s="2" t="str">
        <f>VLOOKUP(الحركات[إلى صندوق],Table1[[الصندوق]:[نوعه]],2,0)</f>
        <v>صرف</v>
      </c>
    </row>
    <row r="473" spans="1:15" x14ac:dyDescent="0.3">
      <c r="A473">
        <v>201912</v>
      </c>
      <c r="B473" s="3"/>
      <c r="C473" t="s">
        <v>18</v>
      </c>
      <c r="D473" s="15">
        <f>VLOOKUP(الحركات[[#This Row],[من صندوق]],Table5[],5,0)</f>
        <v>225</v>
      </c>
      <c r="E473" t="s">
        <v>13</v>
      </c>
      <c r="F473" s="15">
        <f>VLOOKUP(الحركات[[#This Row],[إلى صندوق]],Table5[[الصندوق]:[الرصيد الفعلي]],5,0)</f>
        <v>0</v>
      </c>
      <c r="G473" s="15">
        <f>IF(VLOOKUP(الحركات[إلى صندوق],Table1[],3,0)=0,VLOOKUP(الحركات[[#This Row],[من صندوق]],Table1[[الصندوق]:[القيمة الشهرية]],3,0),VLOOKUP(الحركات[إلى صندوق],Table1[],3,0))</f>
        <v>3800</v>
      </c>
      <c r="H473" s="22">
        <v>3800</v>
      </c>
      <c r="I473" s="22"/>
      <c r="J473" t="s">
        <v>48</v>
      </c>
      <c r="L473" s="26" t="b">
        <f ca="1">AND(الحركات[[#This Row],[مدفوع من شهر]]&lt;=VALUE(TEXT($A$2,"YYYYMM")),الحركات[[#This Row],[الحالة]]="")</f>
        <v>0</v>
      </c>
      <c r="M473" s="2" t="str">
        <f>الحركات[من صندوق]&amp;"/"&amp;الحركات[إلى صندوق]</f>
        <v>الراتب/مصاريف شهرية</v>
      </c>
      <c r="N473" s="2" t="str">
        <f>VLOOKUP(الحركات[من صندوق],Table1[],2,0)</f>
        <v>دخل</v>
      </c>
      <c r="O473" s="2" t="str">
        <f>VLOOKUP(الحركات[إلى صندوق],Table1[[الصندوق]:[نوعه]],2,0)</f>
        <v>صرف</v>
      </c>
    </row>
    <row r="474" spans="1:15" x14ac:dyDescent="0.3">
      <c r="A474">
        <v>201912</v>
      </c>
      <c r="B474" s="3"/>
      <c r="C474" t="s">
        <v>18</v>
      </c>
      <c r="D474" s="15">
        <f>VLOOKUP(الحركات[[#This Row],[من صندوق]],Table5[],5,0)</f>
        <v>225</v>
      </c>
      <c r="E474" t="s">
        <v>3</v>
      </c>
      <c r="F474" s="15">
        <f>VLOOKUP(الحركات[[#This Row],[إلى صندوق]],Table5[[الصندوق]:[الرصيد الفعلي]],5,0)</f>
        <v>2000</v>
      </c>
      <c r="G474" s="15">
        <f>IF(VLOOKUP(الحركات[إلى صندوق],Table1[],3,0)=0,VLOOKUP(الحركات[[#This Row],[من صندوق]],Table1[[الصندوق]:[القيمة الشهرية]],3,0),VLOOKUP(الحركات[إلى صندوق],Table1[],3,0))</f>
        <v>2000</v>
      </c>
      <c r="H474" s="22">
        <v>2000</v>
      </c>
      <c r="I474" s="22"/>
      <c r="J474" t="s">
        <v>49</v>
      </c>
      <c r="L474" s="26" t="b">
        <f ca="1">AND(الحركات[[#This Row],[مدفوع من شهر]]&lt;=VALUE(TEXT($A$2,"YYYYMM")),الحركات[[#This Row],[الحالة]]="")</f>
        <v>0</v>
      </c>
      <c r="M474" s="2" t="str">
        <f>الحركات[من صندوق]&amp;"/"&amp;الحركات[إلى صندوق]</f>
        <v>الراتب/مدارس</v>
      </c>
      <c r="N474" s="2" t="str">
        <f>VLOOKUP(الحركات[من صندوق],Table1[],2,0)</f>
        <v>دخل</v>
      </c>
      <c r="O474" s="2" t="str">
        <f>VLOOKUP(الحركات[إلى صندوق],Table1[[الصندوق]:[نوعه]],2,0)</f>
        <v>صرف</v>
      </c>
    </row>
    <row r="475" spans="1:15" x14ac:dyDescent="0.3">
      <c r="A475">
        <v>201912</v>
      </c>
      <c r="B475" s="3"/>
      <c r="C475" t="s">
        <v>18</v>
      </c>
      <c r="D475" s="15">
        <f>VLOOKUP(الحركات[[#This Row],[من صندوق]],Table5[],5,0)</f>
        <v>225</v>
      </c>
      <c r="E475" t="s">
        <v>21</v>
      </c>
      <c r="F475" s="15">
        <f>VLOOKUP(الحركات[[#This Row],[إلى صندوق]],Table5[[الصندوق]:[الرصيد الفعلي]],5,0)</f>
        <v>1500</v>
      </c>
      <c r="G475" s="15">
        <f>IF(VLOOKUP(الحركات[إلى صندوق],Table1[],3,0)=0,VLOOKUP(الحركات[[#This Row],[من صندوق]],Table1[[الصندوق]:[القيمة الشهرية]],3,0),VLOOKUP(الحركات[إلى صندوق],Table1[],3,0))</f>
        <v>1500</v>
      </c>
      <c r="H475" s="22">
        <v>1500</v>
      </c>
      <c r="I475" s="22"/>
      <c r="J475" t="s">
        <v>50</v>
      </c>
      <c r="L475" s="26" t="b">
        <f ca="1">AND(الحركات[[#This Row],[مدفوع من شهر]]&lt;=VALUE(TEXT($A$2,"YYYYMM")),الحركات[[#This Row],[الحالة]]="")</f>
        <v>0</v>
      </c>
      <c r="M475" s="2" t="str">
        <f>الحركات[من صندوق]&amp;"/"&amp;الحركات[إلى صندوق]</f>
        <v>الراتب/ايجار المنزل</v>
      </c>
      <c r="N475" s="2" t="str">
        <f>VLOOKUP(الحركات[من صندوق],Table1[],2,0)</f>
        <v>دخل</v>
      </c>
      <c r="O475" s="2" t="str">
        <f>VLOOKUP(الحركات[إلى صندوق],Table1[[الصندوق]:[نوعه]],2,0)</f>
        <v>صرف</v>
      </c>
    </row>
    <row r="476" spans="1:15" x14ac:dyDescent="0.3">
      <c r="A476">
        <v>201912</v>
      </c>
      <c r="B476" s="3"/>
      <c r="C476" t="s">
        <v>18</v>
      </c>
      <c r="D476" s="15">
        <f>VLOOKUP(الحركات[[#This Row],[من صندوق]],Table5[],5,0)</f>
        <v>225</v>
      </c>
      <c r="E476" t="s">
        <v>0</v>
      </c>
      <c r="F476" s="15">
        <f>VLOOKUP(الحركات[[#This Row],[إلى صندوق]],Table5[[الصندوق]:[الرصيد الفعلي]],5,0)</f>
        <v>0</v>
      </c>
      <c r="G476" s="15">
        <f>IF(VLOOKUP(الحركات[إلى صندوق],Table1[],3,0)=0,VLOOKUP(الحركات[[#This Row],[من صندوق]],Table1[[الصندوق]:[القيمة الشهرية]],3,0),VLOOKUP(الحركات[إلى صندوق],Table1[],3,0))</f>
        <v>500</v>
      </c>
      <c r="H476" s="22">
        <v>500</v>
      </c>
      <c r="I476" s="22"/>
      <c r="J476" t="s">
        <v>51</v>
      </c>
      <c r="L476" s="26" t="b">
        <f ca="1">AND(الحركات[[#This Row],[مدفوع من شهر]]&lt;=VALUE(TEXT($A$2,"YYYYMM")),الحركات[[#This Row],[الحالة]]="")</f>
        <v>0</v>
      </c>
      <c r="M476" s="2" t="str">
        <f>الحركات[من صندوق]&amp;"/"&amp;الحركات[إلى صندوق]</f>
        <v>الراتب/توفير</v>
      </c>
      <c r="N476" s="2" t="str">
        <f>VLOOKUP(الحركات[من صندوق],Table1[],2,0)</f>
        <v>دخل</v>
      </c>
      <c r="O476" s="2" t="str">
        <f>VLOOKUP(الحركات[إلى صندوق],Table1[[الصندوق]:[نوعه]],2,0)</f>
        <v>صرف</v>
      </c>
    </row>
    <row r="477" spans="1:15" x14ac:dyDescent="0.3">
      <c r="A477">
        <v>201912</v>
      </c>
      <c r="B477" s="3"/>
      <c r="C477" t="s">
        <v>18</v>
      </c>
      <c r="D477" s="15">
        <f>VLOOKUP(الحركات[[#This Row],[من صندوق]],Table5[],5,0)</f>
        <v>225</v>
      </c>
      <c r="E477" t="s">
        <v>12</v>
      </c>
      <c r="F477" s="15">
        <f>VLOOKUP(الحركات[[#This Row],[إلى صندوق]],Table5[[الصندوق]:[الرصيد الفعلي]],5,0)</f>
        <v>400</v>
      </c>
      <c r="G477" s="15">
        <f>IF(VLOOKUP(الحركات[إلى صندوق],Table1[],3,0)=0,VLOOKUP(الحركات[[#This Row],[من صندوق]],Table1[[الصندوق]:[القيمة الشهرية]],3,0),VLOOKUP(الحركات[إلى صندوق],Table1[],3,0))</f>
        <v>400</v>
      </c>
      <c r="H477" s="22">
        <v>400</v>
      </c>
      <c r="I477" s="22"/>
      <c r="J477" t="s">
        <v>52</v>
      </c>
      <c r="L477" s="26" t="b">
        <f ca="1">AND(الحركات[[#This Row],[مدفوع من شهر]]&lt;=VALUE(TEXT($A$2,"YYYYMM")),الحركات[[#This Row],[الحالة]]="")</f>
        <v>0</v>
      </c>
      <c r="M477" s="2" t="str">
        <f>الحركات[من صندوق]&amp;"/"&amp;الحركات[إلى صندوق]</f>
        <v>الراتب/اجازات</v>
      </c>
      <c r="N477" s="2" t="str">
        <f>VLOOKUP(الحركات[من صندوق],Table1[],2,0)</f>
        <v>دخل</v>
      </c>
      <c r="O477" s="2" t="str">
        <f>VLOOKUP(الحركات[إلى صندوق],Table1[[الصندوق]:[نوعه]],2,0)</f>
        <v>صرف</v>
      </c>
    </row>
    <row r="478" spans="1:15" x14ac:dyDescent="0.3">
      <c r="A478">
        <v>201912</v>
      </c>
      <c r="B478" s="3"/>
      <c r="C478" t="s">
        <v>18</v>
      </c>
      <c r="D478" s="15">
        <f>VLOOKUP(الحركات[[#This Row],[من صندوق]],Table5[],5,0)</f>
        <v>225</v>
      </c>
      <c r="E478" t="s">
        <v>9</v>
      </c>
      <c r="F478" s="15">
        <f>VLOOKUP(الحركات[[#This Row],[إلى صندوق]],Table5[[الصندوق]:[الرصيد الفعلي]],5,0)</f>
        <v>200</v>
      </c>
      <c r="G478" s="15">
        <f>IF(VLOOKUP(الحركات[إلى صندوق],Table1[],3,0)=0,VLOOKUP(الحركات[[#This Row],[من صندوق]],Table1[[الصندوق]:[القيمة الشهرية]],3,0),VLOOKUP(الحركات[إلى صندوق],Table1[],3,0))</f>
        <v>200</v>
      </c>
      <c r="H478" s="22">
        <v>200</v>
      </c>
      <c r="I478" s="22"/>
      <c r="J478" t="s">
        <v>53</v>
      </c>
      <c r="L478" s="26" t="b">
        <f ca="1">AND(الحركات[[#This Row],[مدفوع من شهر]]&lt;=VALUE(TEXT($A$2,"YYYYMM")),الحركات[[#This Row],[الحالة]]="")</f>
        <v>0</v>
      </c>
      <c r="M478" s="2" t="str">
        <f>الحركات[من صندوق]&amp;"/"&amp;الحركات[إلى صندوق]</f>
        <v>الراتب/دورات</v>
      </c>
      <c r="N478" s="2" t="str">
        <f>VLOOKUP(الحركات[من صندوق],Table1[],2,0)</f>
        <v>دخل</v>
      </c>
      <c r="O478" s="2" t="str">
        <f>VLOOKUP(الحركات[إلى صندوق],Table1[[الصندوق]:[نوعه]],2,0)</f>
        <v>صرف</v>
      </c>
    </row>
    <row r="479" spans="1:15" x14ac:dyDescent="0.3">
      <c r="A479">
        <v>201912</v>
      </c>
      <c r="B479" s="3"/>
      <c r="C479" t="s">
        <v>18</v>
      </c>
      <c r="D479" s="15">
        <f>VLOOKUP(الحركات[[#This Row],[من صندوق]],Table5[],5,0)</f>
        <v>225</v>
      </c>
      <c r="E479" t="s">
        <v>22</v>
      </c>
      <c r="F479" s="15">
        <f>VLOOKUP(الحركات[[#This Row],[إلى صندوق]],Table5[[الصندوق]:[الرصيد الفعلي]],5,0)</f>
        <v>200</v>
      </c>
      <c r="G479" s="15">
        <f>IF(VLOOKUP(الحركات[إلى صندوق],Table1[],3,0)=0,VLOOKUP(الحركات[[#This Row],[من صندوق]],Table1[[الصندوق]:[القيمة الشهرية]],3,0),VLOOKUP(الحركات[إلى صندوق],Table1[],3,0))</f>
        <v>200</v>
      </c>
      <c r="H479" s="22">
        <v>200</v>
      </c>
      <c r="I479" s="22"/>
      <c r="J479" t="s">
        <v>54</v>
      </c>
      <c r="L479" s="26" t="b">
        <f ca="1">AND(الحركات[[#This Row],[مدفوع من شهر]]&lt;=VALUE(TEXT($A$2,"YYYYMM")),الحركات[[#This Row],[الحالة]]="")</f>
        <v>0</v>
      </c>
      <c r="M479" s="2" t="str">
        <f>الحركات[من صندوق]&amp;"/"&amp;الحركات[إلى صندوق]</f>
        <v>الراتب/زكاة</v>
      </c>
      <c r="N479" s="2" t="str">
        <f>VLOOKUP(الحركات[من صندوق],Table1[],2,0)</f>
        <v>دخل</v>
      </c>
      <c r="O479" s="2" t="str">
        <f>VLOOKUP(الحركات[إلى صندوق],Table1[[الصندوق]:[نوعه]],2,0)</f>
        <v>صرف</v>
      </c>
    </row>
    <row r="480" spans="1:15" x14ac:dyDescent="0.3">
      <c r="A480">
        <v>201912</v>
      </c>
      <c r="B480" s="3"/>
      <c r="C480" t="s">
        <v>18</v>
      </c>
      <c r="D480" s="15">
        <f>VLOOKUP(الحركات[[#This Row],[من صندوق]],Table5[],5,0)</f>
        <v>225</v>
      </c>
      <c r="E480" t="s">
        <v>10</v>
      </c>
      <c r="F480" s="15">
        <f>VLOOKUP(الحركات[[#This Row],[إلى صندوق]],Table5[[الصندوق]:[الرصيد الفعلي]],5,0)</f>
        <v>250</v>
      </c>
      <c r="G480" s="15">
        <f>IF(VLOOKUP(الحركات[إلى صندوق],Table1[],3,0)=0,VLOOKUP(الحركات[[#This Row],[من صندوق]],Table1[[الصندوق]:[القيمة الشهرية]],3,0),VLOOKUP(الحركات[إلى صندوق],Table1[],3,0))</f>
        <v>250</v>
      </c>
      <c r="H480" s="22">
        <v>250</v>
      </c>
      <c r="I480" s="22"/>
      <c r="J480" t="s">
        <v>55</v>
      </c>
      <c r="L480" s="26" t="b">
        <f ca="1">AND(الحركات[[#This Row],[مدفوع من شهر]]&lt;=VALUE(TEXT($A$2,"YYYYMM")),الحركات[[#This Row],[الحالة]]="")</f>
        <v>0</v>
      </c>
      <c r="M480" s="2" t="str">
        <f>الحركات[من صندوق]&amp;"/"&amp;الحركات[إلى صندوق]</f>
        <v>الراتب/صيانة السيارة</v>
      </c>
      <c r="N480" s="2" t="str">
        <f>VLOOKUP(الحركات[من صندوق],Table1[],2,0)</f>
        <v>دخل</v>
      </c>
      <c r="O480" s="2" t="str">
        <f>VLOOKUP(الحركات[إلى صندوق],Table1[[الصندوق]:[نوعه]],2,0)</f>
        <v>صرف</v>
      </c>
    </row>
    <row r="481" spans="1:15" x14ac:dyDescent="0.3">
      <c r="A481">
        <v>201912</v>
      </c>
      <c r="B481" s="3"/>
      <c r="C481" t="s">
        <v>18</v>
      </c>
      <c r="D481" s="15">
        <f>VLOOKUP(الحركات[[#This Row],[من صندوق]],Table5[],5,0)</f>
        <v>225</v>
      </c>
      <c r="E481" t="s">
        <v>15</v>
      </c>
      <c r="F481" s="15">
        <f>VLOOKUP(الحركات[[#This Row],[إلى صندوق]],Table5[[الصندوق]:[الرصيد الفعلي]],5,0)</f>
        <v>0</v>
      </c>
      <c r="G481" s="15">
        <f>IF(VLOOKUP(الحركات[إلى صندوق],Table1[],3,0)=0,VLOOKUP(الحركات[[#This Row],[من صندوق]],Table1[[الصندوق]:[القيمة الشهرية]],3,0),VLOOKUP(الحركات[إلى صندوق],Table1[],3,0))</f>
        <v>285</v>
      </c>
      <c r="H481" s="22">
        <v>285</v>
      </c>
      <c r="I481" s="22"/>
      <c r="J481" t="s">
        <v>56</v>
      </c>
      <c r="L481" s="26" t="b">
        <f ca="1">AND(الحركات[[#This Row],[مدفوع من شهر]]&lt;=VALUE(TEXT($A$2,"YYYYMM")),الحركات[[#This Row],[الحالة]]="")</f>
        <v>0</v>
      </c>
      <c r="M481" s="2" t="str">
        <f>الحركات[من صندوق]&amp;"/"&amp;الحركات[إلى صندوق]</f>
        <v>الراتب/ملابس</v>
      </c>
      <c r="N481" s="2" t="str">
        <f>VLOOKUP(الحركات[من صندوق],Table1[],2,0)</f>
        <v>دخل</v>
      </c>
      <c r="O481" s="2" t="str">
        <f>VLOOKUP(الحركات[إلى صندوق],Table1[[الصندوق]:[نوعه]],2,0)</f>
        <v>صرف</v>
      </c>
    </row>
    <row r="482" spans="1:15" x14ac:dyDescent="0.3">
      <c r="A482">
        <v>201912</v>
      </c>
      <c r="B482" s="3"/>
      <c r="C482" t="s">
        <v>18</v>
      </c>
      <c r="D482" s="15">
        <f>VLOOKUP(الحركات[[#This Row],[من صندوق]],Table5[],5,0)</f>
        <v>225</v>
      </c>
      <c r="E482" t="s">
        <v>1</v>
      </c>
      <c r="F482" s="15">
        <f>VLOOKUP(الحركات[[#This Row],[إلى صندوق]],Table5[[الصندوق]:[الرصيد الفعلي]],5,0)</f>
        <v>0</v>
      </c>
      <c r="G482" s="15">
        <f>IF(VLOOKUP(الحركات[إلى صندوق],Table1[],3,0)=0,VLOOKUP(الحركات[[#This Row],[من صندوق]],Table1[[الصندوق]:[القيمة الشهرية]],3,0),VLOOKUP(الحركات[إلى صندوق],Table1[],3,0))</f>
        <v>190</v>
      </c>
      <c r="H482" s="22">
        <v>190</v>
      </c>
      <c r="I482" s="22"/>
      <c r="J482" t="s">
        <v>57</v>
      </c>
      <c r="L482" s="26" t="b">
        <f ca="1">AND(الحركات[[#This Row],[مدفوع من شهر]]&lt;=VALUE(TEXT($A$2,"YYYYMM")),الحركات[[#This Row],[الحالة]]="")</f>
        <v>0</v>
      </c>
      <c r="M482" s="2" t="str">
        <f>الحركات[من صندوق]&amp;"/"&amp;الحركات[إلى صندوق]</f>
        <v>الراتب/هدايا</v>
      </c>
      <c r="N482" s="2" t="str">
        <f>VLOOKUP(الحركات[من صندوق],Table1[],2,0)</f>
        <v>دخل</v>
      </c>
      <c r="O482" s="2" t="str">
        <f>VLOOKUP(الحركات[إلى صندوق],Table1[[الصندوق]:[نوعه]],2,0)</f>
        <v>صرف</v>
      </c>
    </row>
    <row r="483" spans="1:15" x14ac:dyDescent="0.3">
      <c r="A483">
        <v>201912</v>
      </c>
      <c r="B483" s="3"/>
      <c r="C483" t="s">
        <v>18</v>
      </c>
      <c r="D483" s="15">
        <f>VLOOKUP(الحركات[[#This Row],[من صندوق]],Table5[],5,0)</f>
        <v>225</v>
      </c>
      <c r="E483" t="s">
        <v>4</v>
      </c>
      <c r="F483" s="15">
        <f>VLOOKUP(الحركات[[#This Row],[إلى صندوق]],Table5[[الصندوق]:[الرصيد الفعلي]],5,0)</f>
        <v>200</v>
      </c>
      <c r="G483" s="15">
        <f>IF(VLOOKUP(الحركات[إلى صندوق],Table1[],3,0)=0,VLOOKUP(الحركات[[#This Row],[من صندوق]],Table1[[الصندوق]:[القيمة الشهرية]],3,0),VLOOKUP(الحركات[إلى صندوق],Table1[],3,0))</f>
        <v>200</v>
      </c>
      <c r="H483" s="22">
        <v>200</v>
      </c>
      <c r="I483" s="22"/>
      <c r="J483" t="s">
        <v>58</v>
      </c>
      <c r="L483" s="26" t="b">
        <f ca="1">AND(الحركات[[#This Row],[مدفوع من شهر]]&lt;=VALUE(TEXT($A$2,"YYYYMM")),الحركات[[#This Row],[الحالة]]="")</f>
        <v>0</v>
      </c>
      <c r="M483" s="2" t="str">
        <f>الحركات[من صندوق]&amp;"/"&amp;الحركات[إلى صندوق]</f>
        <v>الراتب/طوارئ</v>
      </c>
      <c r="N483" s="2" t="str">
        <f>VLOOKUP(الحركات[من صندوق],Table1[],2,0)</f>
        <v>دخل</v>
      </c>
      <c r="O483" s="2" t="str">
        <f>VLOOKUP(الحركات[إلى صندوق],Table1[[الصندوق]:[نوعه]],2,0)</f>
        <v>صرف</v>
      </c>
    </row>
    <row r="484" spans="1:15" x14ac:dyDescent="0.3">
      <c r="A484">
        <v>201912</v>
      </c>
      <c r="B484" s="3"/>
      <c r="C484" t="s">
        <v>11</v>
      </c>
      <c r="D484" s="15">
        <f>VLOOKUP(الحركات[[#This Row],[من صندوق]],Table5[],5,0)</f>
        <v>0</v>
      </c>
      <c r="E484" t="s">
        <v>14</v>
      </c>
      <c r="F484" s="15">
        <f>VLOOKUP(الحركات[[#This Row],[إلى صندوق]],Table5[[الصندوق]:[الرصيد الفعلي]],5,0)</f>
        <v>5025</v>
      </c>
      <c r="G484" s="15">
        <f>IF(VLOOKUP(الحركات[إلى صندوق],Table1[],3,0)=0,VLOOKUP(الحركات[[#This Row],[من صندوق]],Table1[[الصندوق]:[القيمة الشهرية]],3,0),VLOOKUP(الحركات[إلى صندوق],Table1[],3,0))</f>
        <v>250</v>
      </c>
      <c r="H484" s="22">
        <v>250</v>
      </c>
      <c r="I484" s="22"/>
      <c r="J484" t="s">
        <v>59</v>
      </c>
      <c r="L484" s="26" t="b">
        <f ca="1">AND(الحركات[[#This Row],[مدفوع من شهر]]&lt;=VALUE(TEXT($A$2,"YYYYMM")),الحركات[[#This Row],[الحالة]]="")</f>
        <v>0</v>
      </c>
      <c r="M484" s="2" t="str">
        <f>الحركات[من صندوق]&amp;"/"&amp;الحركات[إلى صندوق]</f>
        <v>فواتير/صرف</v>
      </c>
      <c r="N484" s="2" t="str">
        <f>VLOOKUP(الحركات[من صندوق],Table1[],2,0)</f>
        <v>صرف</v>
      </c>
      <c r="O484" s="2" t="str">
        <f>VLOOKUP(الحركات[إلى صندوق],Table1[[الصندوق]:[نوعه]],2,0)</f>
        <v>خارجي</v>
      </c>
    </row>
    <row r="485" spans="1:15" x14ac:dyDescent="0.3">
      <c r="A485">
        <v>201912</v>
      </c>
      <c r="B485" s="3"/>
      <c r="C485" t="s">
        <v>13</v>
      </c>
      <c r="D485" s="15">
        <f>VLOOKUP(الحركات[[#This Row],[من صندوق]],Table5[],5,0)</f>
        <v>0</v>
      </c>
      <c r="E485" t="s">
        <v>14</v>
      </c>
      <c r="F485" s="15">
        <f>VLOOKUP(الحركات[[#This Row],[إلى صندوق]],Table5[[الصندوق]:[الرصيد الفعلي]],5,0)</f>
        <v>5025</v>
      </c>
      <c r="G485" s="15">
        <f>IF(VLOOKUP(الحركات[إلى صندوق],Table1[],3,0)=0,VLOOKUP(الحركات[[#This Row],[من صندوق]],Table1[[الصندوق]:[القيمة الشهرية]],3,0),VLOOKUP(الحركات[إلى صندوق],Table1[],3,0))</f>
        <v>3800</v>
      </c>
      <c r="H485" s="22">
        <v>3800</v>
      </c>
      <c r="I485" s="22"/>
      <c r="J485" t="s">
        <v>60</v>
      </c>
      <c r="L485" s="26" t="b">
        <f ca="1">AND(الحركات[[#This Row],[مدفوع من شهر]]&lt;=VALUE(TEXT($A$2,"YYYYMM")),الحركات[[#This Row],[الحالة]]="")</f>
        <v>0</v>
      </c>
      <c r="M485" s="2" t="str">
        <f>الحركات[من صندوق]&amp;"/"&amp;الحركات[إلى صندوق]</f>
        <v>مصاريف شهرية/صرف</v>
      </c>
      <c r="N485" s="2" t="str">
        <f>VLOOKUP(الحركات[من صندوق],Table1[],2,0)</f>
        <v>صرف</v>
      </c>
      <c r="O485" s="2" t="str">
        <f>VLOOKUP(الحركات[إلى صندوق],Table1[[الصندوق]:[نوعه]],2,0)</f>
        <v>خارجي</v>
      </c>
    </row>
    <row r="486" spans="1:15" x14ac:dyDescent="0.3">
      <c r="A486">
        <v>201912</v>
      </c>
      <c r="B486" s="3"/>
      <c r="C486" t="s">
        <v>0</v>
      </c>
      <c r="D486" s="15">
        <f>VLOOKUP(الحركات[[#This Row],[من صندوق]],Table5[],5,0)</f>
        <v>0</v>
      </c>
      <c r="E486" t="s">
        <v>14</v>
      </c>
      <c r="F486" s="15">
        <f>VLOOKUP(الحركات[[#This Row],[إلى صندوق]],Table5[[الصندوق]:[الرصيد الفعلي]],5,0)</f>
        <v>5025</v>
      </c>
      <c r="G486" s="15">
        <f>IF(VLOOKUP(الحركات[إلى صندوق],Table1[],3,0)=0,VLOOKUP(الحركات[[#This Row],[من صندوق]],Table1[[الصندوق]:[القيمة الشهرية]],3,0),VLOOKUP(الحركات[إلى صندوق],Table1[],3,0))</f>
        <v>500</v>
      </c>
      <c r="H486" s="22">
        <v>500</v>
      </c>
      <c r="I486" s="22"/>
      <c r="J486" t="s">
        <v>66</v>
      </c>
      <c r="L486" s="26" t="b">
        <f ca="1">AND(الحركات[[#This Row],[مدفوع من شهر]]&lt;=VALUE(TEXT($A$2,"YYYYMM")),الحركات[[#This Row],[الحالة]]="")</f>
        <v>0</v>
      </c>
      <c r="M486" s="2" t="str">
        <f>الحركات[من صندوق]&amp;"/"&amp;الحركات[إلى صندوق]</f>
        <v>توفير/صرف</v>
      </c>
      <c r="N486" s="2" t="str">
        <f>VLOOKUP(الحركات[من صندوق],Table1[],2,0)</f>
        <v>صرف</v>
      </c>
      <c r="O486" s="2" t="str">
        <f>VLOOKUP(الحركات[إلى صندوق],Table1[[الصندوق]:[نوعه]],2,0)</f>
        <v>خارجي</v>
      </c>
    </row>
    <row r="487" spans="1:15" x14ac:dyDescent="0.3">
      <c r="A487">
        <v>201912</v>
      </c>
      <c r="B487" s="3"/>
      <c r="C487" t="s">
        <v>22</v>
      </c>
      <c r="D487" s="15">
        <f>VLOOKUP(الحركات[[#This Row],[من صندوق]],Table5[],5,0)</f>
        <v>200</v>
      </c>
      <c r="E487" t="s">
        <v>14</v>
      </c>
      <c r="F487" s="15">
        <f>VLOOKUP(الحركات[[#This Row],[إلى صندوق]],Table5[[الصندوق]:[الرصيد الفعلي]],5,0)</f>
        <v>5025</v>
      </c>
      <c r="G487" s="15">
        <f>IF(VLOOKUP(الحركات[إلى صندوق],Table1[],3,0)=0,VLOOKUP(الحركات[[#This Row],[من صندوق]],Table1[[الصندوق]:[القيمة الشهرية]],3,0),VLOOKUP(الحركات[إلى صندوق],Table1[],3,0))</f>
        <v>200</v>
      </c>
      <c r="H487" s="22">
        <v>2400</v>
      </c>
      <c r="I487" s="22"/>
      <c r="J487" t="s">
        <v>69</v>
      </c>
      <c r="L487" s="26" t="b">
        <f ca="1">AND(الحركات[[#This Row],[مدفوع من شهر]]&lt;=VALUE(TEXT($A$2,"YYYYMM")),الحركات[[#This Row],[الحالة]]="")</f>
        <v>0</v>
      </c>
      <c r="M487" s="2" t="str">
        <f>الحركات[من صندوق]&amp;"/"&amp;الحركات[إلى صندوق]</f>
        <v>زكاة/صرف</v>
      </c>
      <c r="N487" s="2" t="str">
        <f>VLOOKUP(الحركات[من صندوق],Table1[],2,0)</f>
        <v>صرف</v>
      </c>
      <c r="O487" s="2" t="str">
        <f>VLOOKUP(الحركات[إلى صندوق],Table1[[الصندوق]:[نوعه]],2,0)</f>
        <v>خارجي</v>
      </c>
    </row>
    <row r="488" spans="1:15" x14ac:dyDescent="0.3">
      <c r="A488">
        <v>201912</v>
      </c>
      <c r="B488" s="3"/>
      <c r="C488" t="s">
        <v>10</v>
      </c>
      <c r="D488" s="15">
        <f>VLOOKUP(الحركات[[#This Row],[من صندوق]],Table5[],5,0)</f>
        <v>250</v>
      </c>
      <c r="E488" t="s">
        <v>14</v>
      </c>
      <c r="F488" s="15">
        <f>VLOOKUP(الحركات[[#This Row],[إلى صندوق]],Table5[[الصندوق]:[الرصيد الفعلي]],5,0)</f>
        <v>5025</v>
      </c>
      <c r="G488" s="15">
        <f>IF(VLOOKUP(الحركات[إلى صندوق],Table1[],3,0)=0,VLOOKUP(الحركات[[#This Row],[من صندوق]],Table1[[الصندوق]:[القيمة الشهرية]],3,0),VLOOKUP(الحركات[إلى صندوق],Table1[],3,0))</f>
        <v>250</v>
      </c>
      <c r="H488" s="22">
        <v>1500</v>
      </c>
      <c r="I488" s="22"/>
      <c r="J488" t="s">
        <v>70</v>
      </c>
      <c r="L488" s="26" t="b">
        <f ca="1">AND(الحركات[[#This Row],[مدفوع من شهر]]&lt;=VALUE(TEXT($A$2,"YYYYMM")),الحركات[[#This Row],[الحالة]]="")</f>
        <v>0</v>
      </c>
      <c r="M488" s="2" t="str">
        <f>الحركات[من صندوق]&amp;"/"&amp;الحركات[إلى صندوق]</f>
        <v>صيانة السيارة/صرف</v>
      </c>
      <c r="N488" s="2" t="str">
        <f>VLOOKUP(الحركات[من صندوق],Table1[],2,0)</f>
        <v>صرف</v>
      </c>
      <c r="O488" s="2" t="str">
        <f>VLOOKUP(الحركات[إلى صندوق],Table1[[الصندوق]:[نوعه]],2,0)</f>
        <v>خارجي</v>
      </c>
    </row>
    <row r="489" spans="1:15" x14ac:dyDescent="0.3">
      <c r="A489">
        <v>201912</v>
      </c>
      <c r="B489" s="3"/>
      <c r="C489" t="s">
        <v>15</v>
      </c>
      <c r="D489" s="15">
        <f>VLOOKUP(الحركات[[#This Row],[من صندوق]],Table5[],5,0)</f>
        <v>0</v>
      </c>
      <c r="E489" t="s">
        <v>14</v>
      </c>
      <c r="F489" s="15">
        <f>VLOOKUP(الحركات[[#This Row],[إلى صندوق]],Table5[[الصندوق]:[الرصيد الفعلي]],5,0)</f>
        <v>5025</v>
      </c>
      <c r="G489" s="15">
        <f>IF(VLOOKUP(الحركات[إلى صندوق],Table1[],3,0)=0,VLOOKUP(الحركات[[#This Row],[من صندوق]],Table1[[الصندوق]:[القيمة الشهرية]],3,0),VLOOKUP(الحركات[إلى صندوق],Table1[],3,0))</f>
        <v>285</v>
      </c>
      <c r="H489" s="22">
        <v>285</v>
      </c>
      <c r="I489" s="22"/>
      <c r="J489" t="s">
        <v>71</v>
      </c>
      <c r="L489" s="26" t="b">
        <f ca="1">AND(الحركات[[#This Row],[مدفوع من شهر]]&lt;=VALUE(TEXT($A$2,"YYYYMM")),الحركات[[#This Row],[الحالة]]="")</f>
        <v>0</v>
      </c>
      <c r="M489" s="2" t="str">
        <f>الحركات[من صندوق]&amp;"/"&amp;الحركات[إلى صندوق]</f>
        <v>ملابس/صرف</v>
      </c>
      <c r="N489" s="2" t="str">
        <f>VLOOKUP(الحركات[من صندوق],Table1[],2,0)</f>
        <v>صرف</v>
      </c>
      <c r="O489" s="2" t="str">
        <f>VLOOKUP(الحركات[إلى صندوق],Table1[[الصندوق]:[نوعه]],2,0)</f>
        <v>خارجي</v>
      </c>
    </row>
    <row r="490" spans="1:15" x14ac:dyDescent="0.3">
      <c r="A490">
        <v>201912</v>
      </c>
      <c r="B490" s="3"/>
      <c r="C490" t="s">
        <v>1</v>
      </c>
      <c r="D490" s="15">
        <f>VLOOKUP(الحركات[[#This Row],[من صندوق]],Table5[],5,0)</f>
        <v>0</v>
      </c>
      <c r="E490" t="s">
        <v>14</v>
      </c>
      <c r="F490" s="15">
        <f>VLOOKUP(الحركات[[#This Row],[إلى صندوق]],Table5[[الصندوق]:[الرصيد الفعلي]],5,0)</f>
        <v>5025</v>
      </c>
      <c r="G490" s="15">
        <f>IF(VLOOKUP(الحركات[إلى صندوق],Table1[],3,0)=0,VLOOKUP(الحركات[[#This Row],[من صندوق]],Table1[[الصندوق]:[القيمة الشهرية]],3,0),VLOOKUP(الحركات[إلى صندوق],Table1[],3,0))</f>
        <v>190</v>
      </c>
      <c r="H490" s="22">
        <v>190</v>
      </c>
      <c r="I490" s="22"/>
      <c r="J490" t="s">
        <v>72</v>
      </c>
      <c r="L490" s="26" t="b">
        <f ca="1">AND(الحركات[[#This Row],[مدفوع من شهر]]&lt;=VALUE(TEXT($A$2,"YYYYMM")),الحركات[[#This Row],[الحالة]]="")</f>
        <v>0</v>
      </c>
      <c r="M490" s="2" t="str">
        <f>الحركات[من صندوق]&amp;"/"&amp;الحركات[إلى صندوق]</f>
        <v>هدايا/صرف</v>
      </c>
      <c r="N490" s="2" t="str">
        <f>VLOOKUP(الحركات[من صندوق],Table1[],2,0)</f>
        <v>صرف</v>
      </c>
      <c r="O490" s="2" t="str">
        <f>VLOOKUP(الحركات[إلى صندوق],Table1[[الصندوق]:[نوعه]],2,0)</f>
        <v>خارجي</v>
      </c>
    </row>
    <row r="491" spans="1:15" x14ac:dyDescent="0.3">
      <c r="A491">
        <v>201912</v>
      </c>
      <c r="B491" s="3"/>
      <c r="C491" t="s">
        <v>4</v>
      </c>
      <c r="D491" s="15">
        <f>VLOOKUP(الحركات[[#This Row],[من صندوق]],Table5[],5,0)</f>
        <v>200</v>
      </c>
      <c r="E491" t="s">
        <v>14</v>
      </c>
      <c r="F491" s="15">
        <f>VLOOKUP(الحركات[[#This Row],[إلى صندوق]],Table5[[الصندوق]:[الرصيد الفعلي]],5,0)</f>
        <v>5025</v>
      </c>
      <c r="G491" s="15">
        <f>IF(VLOOKUP(الحركات[إلى صندوق],Table1[],3,0)=0,VLOOKUP(الحركات[[#This Row],[من صندوق]],Table1[[الصندوق]:[القيمة الشهرية]],3,0),VLOOKUP(الحركات[إلى صندوق],Table1[],3,0))</f>
        <v>200</v>
      </c>
      <c r="H491" s="22">
        <v>1200</v>
      </c>
      <c r="I491" s="22"/>
      <c r="J491" t="s">
        <v>73</v>
      </c>
      <c r="L491" s="26" t="b">
        <f ca="1">AND(الحركات[[#This Row],[مدفوع من شهر]]&lt;=VALUE(TEXT($A$2,"YYYYMM")),الحركات[[#This Row],[الحالة]]="")</f>
        <v>0</v>
      </c>
      <c r="M491" s="2" t="str">
        <f>الحركات[من صندوق]&amp;"/"&amp;الحركات[إلى صندوق]</f>
        <v>طوارئ/صرف</v>
      </c>
      <c r="N491" s="2" t="str">
        <f>VLOOKUP(الحركات[من صندوق],Table1[],2,0)</f>
        <v>صرف</v>
      </c>
      <c r="O491" s="2" t="str">
        <f>VLOOKUP(الحركات[إلى صندوق],Table1[[الصندوق]:[نوعه]],2,0)</f>
        <v>خارجي</v>
      </c>
    </row>
    <row r="492" spans="1:15" x14ac:dyDescent="0.3">
      <c r="A492">
        <v>201902</v>
      </c>
      <c r="B492" s="3"/>
      <c r="C492" t="s">
        <v>18</v>
      </c>
      <c r="D492" s="15">
        <f>VLOOKUP(الحركات[[#This Row],[من صندوق]],Table5[],5,0)</f>
        <v>225</v>
      </c>
      <c r="E492" t="s">
        <v>3</v>
      </c>
      <c r="F492" s="15">
        <f>VLOOKUP(الحركات[[#This Row],[إلى صندوق]],Table5[[الصندوق]:[الرصيد الفعلي]],5,0)</f>
        <v>2000</v>
      </c>
      <c r="G492" s="15">
        <f>IF(VLOOKUP(الحركات[إلى صندوق],Table1[],3,0)=0,VLOOKUP(الحركات[[#This Row],[من صندوق]],Table1[[الصندوق]:[القيمة الشهرية]],3,0),VLOOKUP(الحركات[إلى صندوق],Table1[],3,0))</f>
        <v>2000</v>
      </c>
      <c r="H492" s="22">
        <v>3150</v>
      </c>
      <c r="I492" s="22"/>
      <c r="J492" t="s">
        <v>88</v>
      </c>
      <c r="L492" s="26" t="b">
        <f ca="1">AND(الحركات[[#This Row],[مدفوع من شهر]]&lt;=VALUE(TEXT($A$2,"YYYYMM")),الحركات[[#This Row],[الحالة]]="")</f>
        <v>0</v>
      </c>
      <c r="M492" s="2" t="str">
        <f>الحركات[من صندوق]&amp;"/"&amp;الحركات[إلى صندوق]</f>
        <v>الراتب/مدارس</v>
      </c>
      <c r="N492" s="2" t="str">
        <f>VLOOKUP(الحركات[من صندوق],Table1[],2,0)</f>
        <v>دخل</v>
      </c>
      <c r="O492" s="2" t="str">
        <f>VLOOKUP(الحركات[إلى صندوق],Table1[[الصندوق]:[نوعه]],2,0)</f>
        <v>صرف</v>
      </c>
    </row>
    <row r="493" spans="1:15" x14ac:dyDescent="0.3">
      <c r="A493">
        <v>201906</v>
      </c>
      <c r="B493" s="3"/>
      <c r="C493" t="s">
        <v>18</v>
      </c>
      <c r="D493" s="15">
        <f>VLOOKUP(الحركات[[#This Row],[من صندوق]],Table5[],5,0)</f>
        <v>225</v>
      </c>
      <c r="E493" t="s">
        <v>3</v>
      </c>
      <c r="F493" s="15">
        <f>VLOOKUP(الحركات[[#This Row],[إلى صندوق]],Table5[[الصندوق]:[الرصيد الفعلي]],5,0)</f>
        <v>2000</v>
      </c>
      <c r="G493" s="15">
        <f>IF(VLOOKUP(الحركات[إلى صندوق],Table1[],3,0)=0,VLOOKUP(الحركات[[#This Row],[من صندوق]],Table1[[الصندوق]:[القيمة الشهرية]],3,0),VLOOKUP(الحركات[إلى صندوق],Table1[],3,0))</f>
        <v>2000</v>
      </c>
      <c r="H493" s="22">
        <v>850</v>
      </c>
      <c r="I493" s="22"/>
      <c r="J493" t="s">
        <v>88</v>
      </c>
      <c r="L493" s="26" t="b">
        <f ca="1">AND(الحركات[[#This Row],[مدفوع من شهر]]&lt;=VALUE(TEXT($A$2,"YYYYMM")),الحركات[[#This Row],[الحالة]]="")</f>
        <v>0</v>
      </c>
      <c r="M493" s="2" t="str">
        <f>الحركات[من صندوق]&amp;"/"&amp;الحركات[إلى صندوق]</f>
        <v>الراتب/مدارس</v>
      </c>
      <c r="N493" s="2" t="str">
        <f>VLOOKUP(الحركات[من صندوق],Table1[],2,0)</f>
        <v>دخل</v>
      </c>
      <c r="O493" s="2" t="str">
        <f>VLOOKUP(الحركات[إلى صندوق],Table1[[الصندوق]:[نوعه]],2,0)</f>
        <v>صرف</v>
      </c>
    </row>
  </sheetData>
  <pageMargins left="0.7" right="0.7" top="0.75" bottom="0.75" header="0.3" footer="0.3"/>
  <pageSetup paperSize="9" orientation="portrait" verticalDpi="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'إعدادات الصناديق'!$A$7:$A$21</xm:f>
          </x14:formula1>
          <xm:sqref>C7:C493 E7:E493</xm:sqref>
        </x14:dataValidation>
        <x14:dataValidation type="list" allowBlank="1" showInputMessage="1" showErrorMessage="1">
          <x14:formula1>
            <xm:f>الإعدادات!$C$2:$C$3</xm:f>
          </x14:formula1>
          <xm:sqref>K7:K493</xm:sqref>
        </x14:dataValidation>
        <x14:dataValidation type="list" allowBlank="1" showInputMessage="1" showErrorMessage="1">
          <x14:formula1>
            <xm:f>OFFSET(الإعدادات!$A$2,0,0,COUNTA(الإعدادات!A:A)-1,1)</xm:f>
          </x14:formula1>
          <xm:sqref>A7:A493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rightToLeft="1" zoomScale="110" zoomScaleNormal="110" workbookViewId="0">
      <selection activeCell="C11" sqref="C11"/>
    </sheetView>
  </sheetViews>
  <sheetFormatPr defaultRowHeight="14.4" x14ac:dyDescent="0.3"/>
  <cols>
    <col min="1" max="1" width="11" bestFit="1" customWidth="1"/>
    <col min="3" max="4" width="11.44140625" bestFit="1" customWidth="1"/>
    <col min="5" max="5" width="14.5546875" bestFit="1" customWidth="1"/>
    <col min="6" max="14" width="11.44140625" bestFit="1" customWidth="1"/>
  </cols>
  <sheetData>
    <row r="1" spans="1:15" x14ac:dyDescent="0.3">
      <c r="A1" s="29"/>
      <c r="B1" s="29"/>
      <c r="C1" s="29"/>
      <c r="D1" s="29"/>
      <c r="E1" s="29"/>
      <c r="F1" s="29"/>
      <c r="G1" s="29"/>
      <c r="H1" s="29"/>
      <c r="I1" s="29"/>
      <c r="J1" s="29"/>
      <c r="K1" s="29"/>
      <c r="L1" s="29"/>
      <c r="M1" s="29"/>
      <c r="N1" s="29"/>
    </row>
    <row r="2" spans="1:15" x14ac:dyDescent="0.3">
      <c r="A2" s="29"/>
      <c r="B2" s="29"/>
      <c r="C2" s="29"/>
      <c r="D2" s="29"/>
      <c r="E2" s="29"/>
      <c r="F2" s="29"/>
      <c r="G2" s="29"/>
      <c r="H2" s="29"/>
      <c r="I2" s="29"/>
      <c r="J2" s="29"/>
      <c r="K2" s="29"/>
      <c r="L2" s="29"/>
      <c r="M2" s="29"/>
      <c r="N2" s="29"/>
    </row>
    <row r="3" spans="1:15" ht="21" x14ac:dyDescent="0.4">
      <c r="A3" s="29"/>
      <c r="B3" s="29"/>
      <c r="C3" s="29"/>
      <c r="D3" s="29"/>
      <c r="E3" s="32" t="s">
        <v>93</v>
      </c>
      <c r="F3" s="34">
        <v>201905</v>
      </c>
      <c r="G3" s="29"/>
      <c r="H3" s="33"/>
      <c r="I3" s="33"/>
      <c r="J3" s="29"/>
      <c r="K3" s="29"/>
      <c r="L3" s="29"/>
      <c r="M3" s="29"/>
      <c r="N3" s="29"/>
    </row>
    <row r="4" spans="1:15" x14ac:dyDescent="0.3">
      <c r="A4" s="29"/>
      <c r="B4" s="29"/>
      <c r="C4" s="29"/>
      <c r="D4" s="29"/>
      <c r="E4" s="29"/>
      <c r="F4" s="29"/>
      <c r="G4" s="29"/>
      <c r="H4" s="29"/>
      <c r="I4" s="29"/>
      <c r="J4" s="29"/>
      <c r="K4" s="29"/>
      <c r="L4" s="29"/>
      <c r="M4" s="29"/>
      <c r="N4" s="29"/>
    </row>
    <row r="5" spans="1:15" x14ac:dyDescent="0.3">
      <c r="A5" s="28"/>
      <c r="B5" s="28"/>
      <c r="C5" s="24">
        <f>F3</f>
        <v>201905</v>
      </c>
      <c r="D5" s="24" t="str">
        <f>TEXT(EOMONTH(DATE(LEFT(C5,4),RIGHT(C5,2),"1"),1),"YYYYMM")</f>
        <v>201906</v>
      </c>
      <c r="E5" s="24" t="str">
        <f t="shared" ref="E5:N5" si="0">TEXT(EOMONTH(DATE(LEFT(D5,4),RIGHT(D5,2),"1"),1),"YYYYMM")</f>
        <v>201907</v>
      </c>
      <c r="F5" s="24" t="str">
        <f t="shared" si="0"/>
        <v>201908</v>
      </c>
      <c r="G5" s="24" t="str">
        <f t="shared" si="0"/>
        <v>201909</v>
      </c>
      <c r="H5" s="24" t="str">
        <f t="shared" si="0"/>
        <v>201910</v>
      </c>
      <c r="I5" s="24" t="str">
        <f t="shared" si="0"/>
        <v>201911</v>
      </c>
      <c r="J5" s="24" t="str">
        <f t="shared" si="0"/>
        <v>201912</v>
      </c>
      <c r="K5" s="24" t="str">
        <f t="shared" si="0"/>
        <v>202001</v>
      </c>
      <c r="L5" s="24" t="str">
        <f t="shared" si="0"/>
        <v>202002</v>
      </c>
      <c r="M5" s="24" t="str">
        <f t="shared" si="0"/>
        <v>202003</v>
      </c>
      <c r="N5" s="24" t="str">
        <f t="shared" si="0"/>
        <v>202004</v>
      </c>
    </row>
    <row r="6" spans="1:15" x14ac:dyDescent="0.3">
      <c r="A6" t="s">
        <v>6</v>
      </c>
      <c r="B6" t="s">
        <v>19</v>
      </c>
      <c r="C6" s="25" t="s">
        <v>94</v>
      </c>
      <c r="D6" s="25" t="s">
        <v>95</v>
      </c>
      <c r="E6" s="25" t="s">
        <v>97</v>
      </c>
      <c r="F6" s="25" t="s">
        <v>98</v>
      </c>
      <c r="G6" s="25" t="s">
        <v>99</v>
      </c>
      <c r="H6" s="25" t="s">
        <v>100</v>
      </c>
      <c r="I6" s="25" t="s">
        <v>101</v>
      </c>
      <c r="J6" s="25" t="s">
        <v>102</v>
      </c>
      <c r="K6" s="25" t="s">
        <v>103</v>
      </c>
      <c r="L6" s="25" t="s">
        <v>104</v>
      </c>
      <c r="M6" s="25" t="s">
        <v>105</v>
      </c>
      <c r="N6" s="25" t="s">
        <v>106</v>
      </c>
      <c r="O6" t="s">
        <v>96</v>
      </c>
    </row>
    <row r="7" spans="1:15" x14ac:dyDescent="0.3">
      <c r="A7" t="str">
        <f>Table1[[#This Row],[الصندوق]]</f>
        <v>الشركة</v>
      </c>
      <c r="B7" t="str">
        <f>Table1[[#This Row],[نوعه]]</f>
        <v>خارجي</v>
      </c>
      <c r="C7">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-170000</v>
      </c>
      <c r="D7">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-180000</v>
      </c>
      <c r="E7">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-190000</v>
      </c>
      <c r="F7">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-200000</v>
      </c>
      <c r="G7">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-210000</v>
      </c>
      <c r="H7">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-220000</v>
      </c>
      <c r="I7">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-230000</v>
      </c>
      <c r="J7">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-240000</v>
      </c>
      <c r="K7">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-240000</v>
      </c>
      <c r="L7">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-240000</v>
      </c>
      <c r="M7">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-240000</v>
      </c>
      <c r="N7">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-240000</v>
      </c>
      <c r="O7"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8" spans="1:15" x14ac:dyDescent="0.3">
      <c r="A8" t="str">
        <f>Table1[[#This Row],[الصندوق]]</f>
        <v>صرف</v>
      </c>
      <c r="B8" t="str">
        <f>Table1[[#This Row],[نوعه]]</f>
        <v>خارجي</v>
      </c>
      <c r="C8">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159425</v>
      </c>
      <c r="D8">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167150</v>
      </c>
      <c r="E8">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176975</v>
      </c>
      <c r="F8">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190000</v>
      </c>
      <c r="G8">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195025</v>
      </c>
      <c r="H8">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211450</v>
      </c>
      <c r="I8">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224475</v>
      </c>
      <c r="J8">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234600</v>
      </c>
      <c r="K8">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234600</v>
      </c>
      <c r="L8">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234600</v>
      </c>
      <c r="M8">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234600</v>
      </c>
      <c r="N8">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234600</v>
      </c>
      <c r="O8"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9" spans="1:15" x14ac:dyDescent="0.3">
      <c r="A9" t="str">
        <f>Table1[[#This Row],[الصندوق]]</f>
        <v>الراتب</v>
      </c>
      <c r="B9" t="str">
        <f>Table1[[#This Row],[نوعه]]</f>
        <v>دخل</v>
      </c>
      <c r="C9">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675</v>
      </c>
      <c r="D9">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50</v>
      </c>
      <c r="E9">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275</v>
      </c>
      <c r="F9">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500</v>
      </c>
      <c r="G9">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725</v>
      </c>
      <c r="H9">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950</v>
      </c>
      <c r="I9">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1175</v>
      </c>
      <c r="J9">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1400</v>
      </c>
      <c r="K9">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1400</v>
      </c>
      <c r="L9">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1400</v>
      </c>
      <c r="M9">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1400</v>
      </c>
      <c r="N9">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1400</v>
      </c>
      <c r="O9"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0" spans="1:15" x14ac:dyDescent="0.3">
      <c r="A10" t="str">
        <f>Table1[[#This Row],[الصندوق]]</f>
        <v>فواتير</v>
      </c>
      <c r="B10" t="str">
        <f>Table1[[#This Row],[نوعه]]</f>
        <v>صرف</v>
      </c>
      <c r="C10">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0</v>
      </c>
      <c r="D10">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0">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0</v>
      </c>
      <c r="F10">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0</v>
      </c>
      <c r="G10">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0</v>
      </c>
      <c r="H10">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0</v>
      </c>
      <c r="I10">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0</v>
      </c>
      <c r="J10">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0">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0">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0">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0">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0"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1" spans="1:15" x14ac:dyDescent="0.3">
      <c r="A11" t="str">
        <f>Table1[[#This Row],[الصندوق]]</f>
        <v>مصاريف شهرية</v>
      </c>
      <c r="B11" t="str">
        <f>Table1[[#This Row],[نوعه]]</f>
        <v>صرف</v>
      </c>
      <c r="C11">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0</v>
      </c>
      <c r="D11">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1">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0</v>
      </c>
      <c r="F11">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0</v>
      </c>
      <c r="G11">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0</v>
      </c>
      <c r="H11">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0</v>
      </c>
      <c r="I11">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0</v>
      </c>
      <c r="J11">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1">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1">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1">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1">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1"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2" spans="1:15" x14ac:dyDescent="0.3">
      <c r="A12" t="str">
        <f>Table1[[#This Row],[الصندوق]]</f>
        <v>مدارس</v>
      </c>
      <c r="B12" t="str">
        <f>Table1[[#This Row],[نوعه]]</f>
        <v>صرف</v>
      </c>
      <c r="C12">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5150</v>
      </c>
      <c r="D12">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8000</v>
      </c>
      <c r="E12">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10000</v>
      </c>
      <c r="F12">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4000</v>
      </c>
      <c r="G12">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6000</v>
      </c>
      <c r="H12">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8000</v>
      </c>
      <c r="I12">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2000</v>
      </c>
      <c r="J12">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4000</v>
      </c>
      <c r="K12">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4000</v>
      </c>
      <c r="L12">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4000</v>
      </c>
      <c r="M12">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4000</v>
      </c>
      <c r="N12">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4000</v>
      </c>
      <c r="O12"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3" spans="1:15" x14ac:dyDescent="0.3">
      <c r="A13" t="str">
        <f>Table1[[#This Row],[الصندوق]]</f>
        <v>ايجار المنزل</v>
      </c>
      <c r="B13" t="str">
        <f>Table1[[#This Row],[نوعه]]</f>
        <v>صرف</v>
      </c>
      <c r="C13">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-1500</v>
      </c>
      <c r="D13">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3">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1500</v>
      </c>
      <c r="F13">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3000</v>
      </c>
      <c r="G13">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4500</v>
      </c>
      <c r="H13">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-3000</v>
      </c>
      <c r="I13">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-1500</v>
      </c>
      <c r="J13">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3">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3">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3">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3">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3"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4" spans="1:15" x14ac:dyDescent="0.3">
      <c r="A14" t="str">
        <f>Table1[[#This Row],[الصندوق]]</f>
        <v>توفير</v>
      </c>
      <c r="B14" t="str">
        <f>Table1[[#This Row],[نوعه]]</f>
        <v>صرف</v>
      </c>
      <c r="C14">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0</v>
      </c>
      <c r="D14">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4">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0</v>
      </c>
      <c r="F14">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0</v>
      </c>
      <c r="G14">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0</v>
      </c>
      <c r="H14">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0</v>
      </c>
      <c r="I14">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0</v>
      </c>
      <c r="J14">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4">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4">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4">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4">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4"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5" spans="1:15" x14ac:dyDescent="0.3">
      <c r="A15" t="str">
        <f>Table1[[#This Row],[الصندوق]]</f>
        <v>اجازات</v>
      </c>
      <c r="B15" t="str">
        <f>Table1[[#This Row],[نوعه]]</f>
        <v>صرف</v>
      </c>
      <c r="C15">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2000</v>
      </c>
      <c r="D15">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2400</v>
      </c>
      <c r="E15">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-2000</v>
      </c>
      <c r="F15">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-1600</v>
      </c>
      <c r="G15">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-1200</v>
      </c>
      <c r="H15">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-800</v>
      </c>
      <c r="I15">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-400</v>
      </c>
      <c r="J15">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5">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5">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5">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5">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5"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6" spans="1:15" x14ac:dyDescent="0.3">
      <c r="A16" t="str">
        <f>Table1[[#This Row],[الصندوق]]</f>
        <v>دورات</v>
      </c>
      <c r="B16" t="str">
        <f>Table1[[#This Row],[نوعه]]</f>
        <v>صرف</v>
      </c>
      <c r="C16">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1000</v>
      </c>
      <c r="D16">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1200</v>
      </c>
      <c r="E16">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1400</v>
      </c>
      <c r="F16">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1600</v>
      </c>
      <c r="G16">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1800</v>
      </c>
      <c r="H16">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-400</v>
      </c>
      <c r="I16">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-200</v>
      </c>
      <c r="J16">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6">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6">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6">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6">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6"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7" spans="1:15" x14ac:dyDescent="0.3">
      <c r="A17" t="str">
        <f>Table1[[#This Row],[الصندوق]]</f>
        <v>زكاة</v>
      </c>
      <c r="B17" t="str">
        <f>Table1[[#This Row],[نوعه]]</f>
        <v>صرف</v>
      </c>
      <c r="C17">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1000</v>
      </c>
      <c r="D17">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1200</v>
      </c>
      <c r="E17">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1400</v>
      </c>
      <c r="F17">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1600</v>
      </c>
      <c r="G17">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1800</v>
      </c>
      <c r="H17">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2000</v>
      </c>
      <c r="I17">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2200</v>
      </c>
      <c r="J17">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7">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7">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7">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7">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7"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8" spans="1:15" x14ac:dyDescent="0.3">
      <c r="A18" t="str">
        <f>Table1[[#This Row],[الصندوق]]</f>
        <v>صيانة السيارة</v>
      </c>
      <c r="B18" t="str">
        <f>Table1[[#This Row],[نوعه]]</f>
        <v>صرف</v>
      </c>
      <c r="C18">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1250</v>
      </c>
      <c r="D18">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8">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250</v>
      </c>
      <c r="F18">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500</v>
      </c>
      <c r="G18">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750</v>
      </c>
      <c r="H18">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1000</v>
      </c>
      <c r="I18">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1250</v>
      </c>
      <c r="J18">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8">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8">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8">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8">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8"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19" spans="1:15" x14ac:dyDescent="0.3">
      <c r="A19" t="str">
        <f>Table1[[#This Row],[الصندوق]]</f>
        <v>ملابس</v>
      </c>
      <c r="B19" t="str">
        <f>Table1[[#This Row],[نوعه]]</f>
        <v>صرف</v>
      </c>
      <c r="C19">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0</v>
      </c>
      <c r="D19">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19">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0</v>
      </c>
      <c r="F19">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0</v>
      </c>
      <c r="G19">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0</v>
      </c>
      <c r="H19">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0</v>
      </c>
      <c r="I19">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0</v>
      </c>
      <c r="J19">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19">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19">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19">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19">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19"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20" spans="1:15" x14ac:dyDescent="0.3">
      <c r="A20" t="str">
        <f>Table1[[#This Row],[الصندوق]]</f>
        <v>هدايا</v>
      </c>
      <c r="B20" t="str">
        <f>Table1[[#This Row],[نوعه]]</f>
        <v>صرف</v>
      </c>
      <c r="C20">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0</v>
      </c>
      <c r="D20">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20">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0</v>
      </c>
      <c r="F20">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0</v>
      </c>
      <c r="G20">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0</v>
      </c>
      <c r="H20">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0</v>
      </c>
      <c r="I20">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0</v>
      </c>
      <c r="J20">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20">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20">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20">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20">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20"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21" spans="1:15" x14ac:dyDescent="0.3">
      <c r="A21" t="str">
        <f>Table1[[#This Row],[الصندوق]]</f>
        <v>طوارئ</v>
      </c>
      <c r="B21" t="str">
        <f>Table1[[#This Row],[نوعه]]</f>
        <v>صرف</v>
      </c>
      <c r="C21">
        <f>SUMIFS(الحركات[القيمة / خطة],الحركات[إلى صندوق],شهر12[[#This Row],[الصندوق]],الحركات[مدفوع من شهر],"&lt;="&amp;C$5)-SUMIFS(الحركات[القيمة / خطة],الحركات[من صندوق],شهر12[[#This Row],[الصندوق]],الحركات[مدفوع من شهر],"&lt;="&amp;C$5)</f>
        <v>1000</v>
      </c>
      <c r="D21">
        <f>SUMIFS(الحركات[القيمة / خطة],الحركات[إلى صندوق],شهر12[[#This Row],[الصندوق]],الحركات[مدفوع من شهر],"&lt;="&amp;D$5)-SUMIFS(الحركات[القيمة / خطة],الحركات[من صندوق],شهر12[[#This Row],[الصندوق]],الحركات[مدفوع من شهر],"&lt;="&amp;D$5)</f>
        <v>0</v>
      </c>
      <c r="E21">
        <f>SUMIFS(الحركات[القيمة / خطة],الحركات[إلى صندوق],شهر12[[#This Row],[الصندوق]],الحركات[مدفوع من شهر],"&lt;="&amp;E$5)-SUMIFS(الحركات[القيمة / خطة],الحركات[من صندوق],شهر12[[#This Row],[الصندوق]],الحركات[مدفوع من شهر],"&lt;="&amp;E$5)</f>
        <v>200</v>
      </c>
      <c r="F21">
        <f>SUMIFS(الحركات[القيمة / خطة],الحركات[إلى صندوق],شهر12[[#This Row],[الصندوق]],الحركات[مدفوع من شهر],"&lt;="&amp;F$5)-SUMIFS(الحركات[القيمة / خطة],الحركات[من صندوق],شهر12[[#This Row],[الصندوق]],الحركات[مدفوع من شهر],"&lt;="&amp;F$5)</f>
        <v>400</v>
      </c>
      <c r="G21">
        <f>SUMIFS(الحركات[القيمة / خطة],الحركات[إلى صندوق],شهر12[[#This Row],[الصندوق]],الحركات[مدفوع من شهر],"&lt;="&amp;G$5)-SUMIFS(الحركات[القيمة / خطة],الحركات[من صندوق],شهر12[[#This Row],[الصندوق]],الحركات[مدفوع من شهر],"&lt;="&amp;G$5)</f>
        <v>600</v>
      </c>
      <c r="H21">
        <f>SUMIFS(الحركات[القيمة / خطة],الحركات[إلى صندوق],شهر12[[#This Row],[الصندوق]],الحركات[مدفوع من شهر],"&lt;="&amp;H$5)-SUMIFS(الحركات[القيمة / خطة],الحركات[من صندوق],شهر12[[#This Row],[الصندوق]],الحركات[مدفوع من شهر],"&lt;="&amp;H$5)</f>
        <v>800</v>
      </c>
      <c r="I21">
        <f>SUMIFS(الحركات[القيمة / خطة],الحركات[إلى صندوق],شهر12[[#This Row],[الصندوق]],الحركات[مدفوع من شهر],"&lt;="&amp;I$5)-SUMIFS(الحركات[القيمة / خطة],الحركات[من صندوق],شهر12[[#This Row],[الصندوق]],الحركات[مدفوع من شهر],"&lt;="&amp;I$5)</f>
        <v>1000</v>
      </c>
      <c r="J21">
        <f>SUMIFS(الحركات[القيمة / خطة],الحركات[إلى صندوق],شهر12[[#This Row],[الصندوق]],الحركات[مدفوع من شهر],"&lt;="&amp;J$5)-SUMIFS(الحركات[القيمة / خطة],الحركات[من صندوق],شهر12[[#This Row],[الصندوق]],الحركات[مدفوع من شهر],"&lt;="&amp;J$5)</f>
        <v>0</v>
      </c>
      <c r="K21">
        <f>SUMIFS(الحركات[القيمة / خطة],الحركات[إلى صندوق],شهر12[[#This Row],[الصندوق]],الحركات[مدفوع من شهر],"&lt;="&amp;K$5)-SUMIFS(الحركات[القيمة / خطة],الحركات[من صندوق],شهر12[[#This Row],[الصندوق]],الحركات[مدفوع من شهر],"&lt;="&amp;K$5)</f>
        <v>0</v>
      </c>
      <c r="L21">
        <f>SUMIFS(الحركات[القيمة / خطة],الحركات[إلى صندوق],شهر12[[#This Row],[الصندوق]],الحركات[مدفوع من شهر],"&lt;="&amp;L$5)-SUMIFS(الحركات[القيمة / خطة],الحركات[من صندوق],شهر12[[#This Row],[الصندوق]],الحركات[مدفوع من شهر],"&lt;="&amp;L$5)</f>
        <v>0</v>
      </c>
      <c r="M21">
        <f>SUMIFS(الحركات[القيمة / خطة],الحركات[إلى صندوق],شهر12[[#This Row],[الصندوق]],الحركات[مدفوع من شهر],"&lt;="&amp;M$5)-SUMIFS(الحركات[القيمة / خطة],الحركات[من صندوق],شهر12[[#This Row],[الصندوق]],الحركات[مدفوع من شهر],"&lt;="&amp;M$5)</f>
        <v>0</v>
      </c>
      <c r="N21">
        <f>SUMIFS(الحركات[القيمة / خطة],الحركات[إلى صندوق],شهر12[[#This Row],[الصندوق]],الحركات[مدفوع من شهر],"&lt;="&amp;N$5)-SUMIFS(الحركات[القيمة / خطة],الحركات[من صندوق],شهر12[[#This Row],[الصندوق]],الحركات[مدفوع من شهر],"&lt;="&amp;N$5)</f>
        <v>0</v>
      </c>
      <c r="O21" s="1">
        <f>SUMIFS(الحركات[القيمة / خطة],الحركات[إلى صندوق],شهر12[[#This Row],[الصندوق]],الحركات[مدفوع من شهر],"&lt;="&amp;O$5)-SUMIFS(الحركات[القيمة / خطة],الحركات[من صندوق],شهر12[[#This Row],[الصندوق]],الحركات[مدفوع من شهر],"&lt;="&amp;O$5)</f>
        <v>0</v>
      </c>
    </row>
    <row r="22" spans="1:15" x14ac:dyDescent="0.3">
      <c r="A22" t="s">
        <v>2</v>
      </c>
      <c r="C22">
        <f>SUBTOTAL(109,شهر12[1])</f>
        <v>0</v>
      </c>
      <c r="D22">
        <f>SUBTOTAL(109,شهر12[2])</f>
        <v>0</v>
      </c>
      <c r="E22">
        <f>SUBTOTAL(109,شهر12[3])</f>
        <v>0</v>
      </c>
      <c r="F22">
        <f>SUBTOTAL(109,شهر12[4])</f>
        <v>0</v>
      </c>
      <c r="G22">
        <f>SUBTOTAL(109,شهر12[5])</f>
        <v>0</v>
      </c>
      <c r="H22">
        <f>SUBTOTAL(109,شهر12[6])</f>
        <v>0</v>
      </c>
      <c r="I22">
        <f>SUBTOTAL(109,شهر12[7])</f>
        <v>0</v>
      </c>
      <c r="J22">
        <f>SUBTOTAL(109,شهر12[8])</f>
        <v>0</v>
      </c>
      <c r="K22">
        <f>SUBTOTAL(109,شهر12[9])</f>
        <v>0</v>
      </c>
      <c r="L22">
        <f>SUBTOTAL(109,شهر12[10])</f>
        <v>0</v>
      </c>
      <c r="M22">
        <f>SUBTOTAL(109,شهر12[11])</f>
        <v>0</v>
      </c>
      <c r="N22">
        <f>SUBTOTAL(109,شهر12[12])</f>
        <v>0</v>
      </c>
    </row>
  </sheetData>
  <conditionalFormatting sqref="C7:N8 C10:N21 C9">
    <cfRule type="cellIs" dxfId="39" priority="4" operator="equal">
      <formula>0</formula>
    </cfRule>
    <cfRule type="cellIs" dxfId="38" priority="5" operator="lessThan">
      <formula>0</formula>
    </cfRule>
    <cfRule type="cellIs" dxfId="37" priority="6" operator="greaterThan">
      <formula>0</formula>
    </cfRule>
  </conditionalFormatting>
  <conditionalFormatting sqref="D9:O9">
    <cfRule type="cellIs" dxfId="36" priority="1" operator="equal">
      <formula>0</formula>
    </cfRule>
    <cfRule type="cellIs" dxfId="35" priority="2" operator="lessThan">
      <formula>0</formula>
    </cfRule>
    <cfRule type="cellIs" dxfId="34" priority="3" operator="greaterThan">
      <formula>0</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OFFSET(الإعدادات!$A$2,0,0,COUNTA(الإعدادات!A:A)-1,1)</xm:f>
          </x14:formula1>
          <xm:sqref>F3</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rightToLeft="1" zoomScale="120" zoomScaleNormal="120" workbookViewId="0">
      <selection activeCell="D13" sqref="D13"/>
    </sheetView>
  </sheetViews>
  <sheetFormatPr defaultRowHeight="14.4" x14ac:dyDescent="0.3"/>
  <cols>
    <col min="1" max="1" width="11" bestFit="1" customWidth="1"/>
    <col min="2" max="2" width="19.88671875" bestFit="1" customWidth="1"/>
    <col min="3" max="3" width="15.109375" bestFit="1" customWidth="1"/>
    <col min="4" max="4" width="26.6640625" bestFit="1" customWidth="1"/>
    <col min="5" max="5" width="20.77734375" bestFit="1" customWidth="1"/>
    <col min="6" max="6" width="16.109375" bestFit="1" customWidth="1"/>
    <col min="7" max="7" width="27.6640625" bestFit="1" customWidth="1"/>
    <col min="8" max="8" width="17.6640625" bestFit="1" customWidth="1"/>
    <col min="9" max="9" width="12.44140625" bestFit="1" customWidth="1"/>
  </cols>
  <sheetData>
    <row r="1" spans="1:9" x14ac:dyDescent="0.3">
      <c r="A1" s="29"/>
      <c r="B1" s="29"/>
      <c r="C1" s="29"/>
      <c r="D1" s="29"/>
      <c r="E1" s="29"/>
      <c r="F1" s="29"/>
      <c r="G1" s="29"/>
      <c r="H1" s="29"/>
      <c r="I1" s="29"/>
    </row>
    <row r="2" spans="1:9" x14ac:dyDescent="0.3">
      <c r="A2" s="29"/>
      <c r="B2" s="29"/>
      <c r="C2" s="29"/>
      <c r="D2" s="29"/>
      <c r="E2" s="29"/>
      <c r="F2" s="29"/>
      <c r="G2" s="29"/>
      <c r="H2" s="29"/>
      <c r="I2" s="29"/>
    </row>
    <row r="3" spans="1:9" ht="21" x14ac:dyDescent="0.4">
      <c r="A3" s="29"/>
      <c r="B3" s="31" t="s">
        <v>76</v>
      </c>
      <c r="C3" s="37" t="s">
        <v>84</v>
      </c>
      <c r="D3" s="31" t="s">
        <v>77</v>
      </c>
      <c r="E3" s="37">
        <v>201804</v>
      </c>
      <c r="F3" s="30" t="str">
        <f>IF(C3="حتى","&lt;="&amp;E3,E3)</f>
        <v>&lt;=201804</v>
      </c>
      <c r="G3" s="29"/>
      <c r="H3" s="29"/>
      <c r="I3" s="29"/>
    </row>
    <row r="4" spans="1:9" x14ac:dyDescent="0.3">
      <c r="A4" s="29"/>
      <c r="B4" s="29"/>
      <c r="C4" s="29"/>
      <c r="D4" s="29"/>
      <c r="E4" s="29"/>
      <c r="F4" s="29"/>
      <c r="G4" s="29"/>
      <c r="H4" s="29"/>
      <c r="I4" s="29"/>
    </row>
    <row r="5" spans="1:9" x14ac:dyDescent="0.3">
      <c r="A5" s="29"/>
      <c r="B5" s="29"/>
      <c r="C5" s="29"/>
      <c r="D5" s="29"/>
      <c r="E5" s="29"/>
      <c r="F5" s="29"/>
      <c r="G5" s="29"/>
      <c r="H5" s="29"/>
      <c r="I5" s="29"/>
    </row>
    <row r="6" spans="1:9" x14ac:dyDescent="0.3">
      <c r="A6" t="s">
        <v>6</v>
      </c>
      <c r="B6" t="s">
        <v>74</v>
      </c>
      <c r="C6" t="s">
        <v>75</v>
      </c>
      <c r="D6" t="s">
        <v>78</v>
      </c>
      <c r="E6" t="s">
        <v>79</v>
      </c>
      <c r="F6" t="s">
        <v>80</v>
      </c>
      <c r="G6" t="s">
        <v>81</v>
      </c>
      <c r="H6" t="s">
        <v>82</v>
      </c>
      <c r="I6" t="s">
        <v>83</v>
      </c>
    </row>
    <row r="7" spans="1:9" x14ac:dyDescent="0.3">
      <c r="A7" t="str">
        <f>Table1[[#This Row],[الصندوق]]</f>
        <v>الشركة</v>
      </c>
      <c r="B7" s="9">
        <f>SUMIFS(الحركات[القيمة / خطة],الحركات[إلى صندوق],Table4[[#This Row],[الصندوق]],الحركات[مدفوع من شهر],$F$3)</f>
        <v>0</v>
      </c>
      <c r="C7" s="9">
        <f>SUMIFS(الحركات[القيمة الفعلية],الحركات[إلى صندوق],Table4[[#This Row],[الصندوق]],الحركات[مدفوع من شهر],$F$3)</f>
        <v>0</v>
      </c>
      <c r="D7" s="23" t="str">
        <f>IFERROR(Table4[[#This Row],[المدخلات الفعلية]]/Table4[[#This Row],[المدخلات حسب الخطة]],"-")</f>
        <v>-</v>
      </c>
      <c r="E7" s="10">
        <f>SUMIFS(الحركات[القيمة / خطة],الحركات[من صندوق],Table4[[#This Row],[الصندوق]],الحركات[مدفوع من شهر],'الوضع في شهر'!$F$3)</f>
        <v>40000</v>
      </c>
      <c r="F7" s="10">
        <f>SUMIFS(الحركات[القيمة الفعلية],الحركات[من صندوق],Table4[[#This Row],[الصندوق]],الحركات[مدفوع من شهر],$F$3)</f>
        <v>10000</v>
      </c>
      <c r="G7" s="23">
        <f>IFERROR(Table4[[#This Row],[المصروفات الفعلية]]/Table4[[#This Row],[المصروفات حسب الخطة]],"-")</f>
        <v>0.25</v>
      </c>
      <c r="H7" s="1">
        <f>Table4[[#This Row],[المدخلات حسب الخطة]]-Table4[[#This Row],[المصروفات حسب الخطة]]</f>
        <v>-40000</v>
      </c>
      <c r="I7" s="1">
        <f>Table4[[#This Row],[المدخلات الفعلية]]-Table4[[#This Row],[المصروفات الفعلية]]</f>
        <v>-10000</v>
      </c>
    </row>
    <row r="8" spans="1:9" x14ac:dyDescent="0.3">
      <c r="A8" t="str">
        <f>Table1[[#This Row],[الصندوق]]</f>
        <v>صرف</v>
      </c>
      <c r="B8" s="9">
        <f>SUMIFS(الحركات[القيمة / خطة],الحركات[إلى صندوق],Table4[[#This Row],[الصندوق]],الحركات[مدفوع من شهر],$F$3)</f>
        <v>37100</v>
      </c>
      <c r="C8" s="9">
        <f>SUMIFS(الحركات[القيمة الفعلية],الحركات[إلى صندوق],Table4[[#This Row],[الصندوق]],الحركات[مدفوع من شهر],$F$3)</f>
        <v>5025</v>
      </c>
      <c r="D8" s="23">
        <f>IFERROR(Table4[[#This Row],[المدخلات الفعلية]]/Table4[[#This Row],[المدخلات حسب الخطة]],"-")</f>
        <v>0.13544474393530997</v>
      </c>
      <c r="E8" s="10">
        <f>SUMIFS(الحركات[القيمة / خطة],الحركات[من صندوق],Table4[[#This Row],[الصندوق]],الحركات[مدفوع من شهر],'الوضع في شهر'!$F$3)</f>
        <v>0</v>
      </c>
      <c r="F8" s="10">
        <f>SUMIFS(الحركات[القيمة الفعلية],الحركات[من صندوق],Table4[[#This Row],[الصندوق]],الحركات[مدفوع من شهر],$F$3)</f>
        <v>0</v>
      </c>
      <c r="G8" s="23" t="str">
        <f>IFERROR(Table4[[#This Row],[المصروفات الفعلية]]/Table4[[#This Row],[المصروفات حسب الخطة]],"-")</f>
        <v>-</v>
      </c>
      <c r="H8" s="1">
        <f>Table4[[#This Row],[المدخلات حسب الخطة]]-Table4[[#This Row],[المصروفات حسب الخطة]]</f>
        <v>37100</v>
      </c>
      <c r="I8" s="1">
        <f>Table4[[#This Row],[المدخلات الفعلية]]-Table4[[#This Row],[المصروفات الفعلية]]</f>
        <v>5025</v>
      </c>
    </row>
    <row r="9" spans="1:9" x14ac:dyDescent="0.3">
      <c r="A9" t="str">
        <f>Table1[[#This Row],[الصندوق]]</f>
        <v>الراتب</v>
      </c>
      <c r="B9" s="9">
        <f>SUMIFS(الحركات[القيمة / خطة],الحركات[إلى صندوق],Table4[[#This Row],[الصندوق]],الحركات[مدفوع من شهر],$F$3)</f>
        <v>40000</v>
      </c>
      <c r="C9" s="9">
        <f>SUMIFS(الحركات[القيمة الفعلية],الحركات[إلى صندوق],Table4[[#This Row],[الصندوق]],الحركات[مدفوع من شهر],$F$3)</f>
        <v>10000</v>
      </c>
      <c r="D9" s="23">
        <f>IFERROR(Table4[[#This Row],[المدخلات الفعلية]]/Table4[[#This Row],[المدخلات حسب الخطة]],"-")</f>
        <v>0.25</v>
      </c>
      <c r="E9" s="10">
        <f>SUMIFS(الحركات[القيمة / خطة],الحركات[من صندوق],Table4[[#This Row],[الصندوق]],الحركات[مدفوع من شهر],'الوضع في شهر'!$F$3)</f>
        <v>39100</v>
      </c>
      <c r="F9" s="10">
        <f>SUMIFS(الحركات[القيمة الفعلية],الحركات[من صندوق],Table4[[#This Row],[الصندوق]],الحركات[مدفوع من شهر],$F$3)</f>
        <v>9775</v>
      </c>
      <c r="G9" s="23">
        <f>IFERROR(Table4[[#This Row],[المصروفات الفعلية]]/Table4[[#This Row],[المصروفات حسب الخطة]],"-")</f>
        <v>0.25</v>
      </c>
      <c r="H9" s="1">
        <f>Table4[[#This Row],[المدخلات حسب الخطة]]-Table4[[#This Row],[المصروفات حسب الخطة]]</f>
        <v>900</v>
      </c>
      <c r="I9" s="1">
        <f>Table4[[#This Row],[المدخلات الفعلية]]-Table4[[#This Row],[المصروفات الفعلية]]</f>
        <v>225</v>
      </c>
    </row>
    <row r="10" spans="1:9" x14ac:dyDescent="0.3">
      <c r="A10" t="str">
        <f>Table1[[#This Row],[الصندوق]]</f>
        <v>فواتير</v>
      </c>
      <c r="B10" s="9">
        <f>SUMIFS(الحركات[القيمة / خطة],الحركات[إلى صندوق],Table4[[#This Row],[الصندوق]],الحركات[مدفوع من شهر],$F$3)</f>
        <v>1000</v>
      </c>
      <c r="C10" s="9">
        <f>SUMIFS(الحركات[القيمة الفعلية],الحركات[إلى صندوق],Table4[[#This Row],[الصندوق]],الحركات[مدفوع من شهر],$F$3)</f>
        <v>250</v>
      </c>
      <c r="D10" s="23">
        <f>IFERROR(Table4[[#This Row],[المدخلات الفعلية]]/Table4[[#This Row],[المدخلات حسب الخطة]],"-")</f>
        <v>0.25</v>
      </c>
      <c r="E10" s="10">
        <f>SUMIFS(الحركات[القيمة / خطة],الحركات[من صندوق],Table4[[#This Row],[الصندوق]],الحركات[مدفوع من شهر],'الوضع في شهر'!$F$3)</f>
        <v>1000</v>
      </c>
      <c r="F10" s="10">
        <f>SUMIFS(الحركات[القيمة الفعلية],الحركات[من صندوق],Table4[[#This Row],[الصندوق]],الحركات[مدفوع من شهر],$F$3)</f>
        <v>250</v>
      </c>
      <c r="G10" s="23">
        <f>IFERROR(Table4[[#This Row],[المصروفات الفعلية]]/Table4[[#This Row],[المصروفات حسب الخطة]],"-")</f>
        <v>0.25</v>
      </c>
      <c r="H10" s="1">
        <f>Table4[[#This Row],[المدخلات حسب الخطة]]-Table4[[#This Row],[المصروفات حسب الخطة]]</f>
        <v>0</v>
      </c>
      <c r="I10" s="1">
        <f>Table4[[#This Row],[المدخلات الفعلية]]-Table4[[#This Row],[المصروفات الفعلية]]</f>
        <v>0</v>
      </c>
    </row>
    <row r="11" spans="1:9" x14ac:dyDescent="0.3">
      <c r="A11" t="str">
        <f>Table1[[#This Row],[الصندوق]]</f>
        <v>مصاريف شهرية</v>
      </c>
      <c r="B11" s="9">
        <f>SUMIFS(الحركات[القيمة / خطة],الحركات[إلى صندوق],Table4[[#This Row],[الصندوق]],الحركات[مدفوع من شهر],$F$3)</f>
        <v>15200</v>
      </c>
      <c r="C11" s="9">
        <f>SUMIFS(الحركات[القيمة الفعلية],الحركات[إلى صندوق],Table4[[#This Row],[الصندوق]],الحركات[مدفوع من شهر],$F$3)</f>
        <v>3800</v>
      </c>
      <c r="D11" s="23">
        <f>IFERROR(Table4[[#This Row],[المدخلات الفعلية]]/Table4[[#This Row],[المدخلات حسب الخطة]],"-")</f>
        <v>0.25</v>
      </c>
      <c r="E11" s="10">
        <f>SUMIFS(الحركات[القيمة / خطة],الحركات[من صندوق],Table4[[#This Row],[الصندوق]],الحركات[مدفوع من شهر],'الوضع في شهر'!$F$3)</f>
        <v>15200</v>
      </c>
      <c r="F11" s="10">
        <f>SUMIFS(الحركات[القيمة الفعلية],الحركات[من صندوق],Table4[[#This Row],[الصندوق]],الحركات[مدفوع من شهر],$F$3)</f>
        <v>3800</v>
      </c>
      <c r="G11" s="23">
        <f>IFERROR(Table4[[#This Row],[المصروفات الفعلية]]/Table4[[#This Row],[المصروفات حسب الخطة]],"-")</f>
        <v>0.25</v>
      </c>
      <c r="H11" s="1">
        <f>Table4[[#This Row],[المدخلات حسب الخطة]]-Table4[[#This Row],[المصروفات حسب الخطة]]</f>
        <v>0</v>
      </c>
      <c r="I11" s="1">
        <f>Table4[[#This Row],[المدخلات الفعلية]]-Table4[[#This Row],[المصروفات الفعلية]]</f>
        <v>0</v>
      </c>
    </row>
    <row r="12" spans="1:9" x14ac:dyDescent="0.3">
      <c r="A12" t="str">
        <f>Table1[[#This Row],[الصندوق]]</f>
        <v>مدارس</v>
      </c>
      <c r="B12" s="9">
        <f>SUMIFS(الحركات[القيمة / خطة],الحركات[إلى صندوق],Table4[[#This Row],[الصندوق]],الحركات[مدفوع من شهر],$F$3)</f>
        <v>12000</v>
      </c>
      <c r="C12" s="9">
        <f>SUMIFS(الحركات[القيمة الفعلية],الحركات[إلى صندوق],Table4[[#This Row],[الصندوق]],الحركات[مدفوع من شهر],$F$3)</f>
        <v>2000</v>
      </c>
      <c r="D12" s="23">
        <f>IFERROR(Table4[[#This Row],[المدخلات الفعلية]]/Table4[[#This Row],[المدخلات حسب الخطة]],"-")</f>
        <v>0.16666666666666666</v>
      </c>
      <c r="E12" s="10">
        <f>SUMIFS(الحركات[القيمة / خطة],الحركات[من صندوق],Table4[[#This Row],[الصندوق]],الحركات[مدفوع من شهر],'الوضع في شهر'!$F$3)</f>
        <v>12000</v>
      </c>
      <c r="F12" s="10">
        <f>SUMIFS(الحركات[القيمة الفعلية],الحركات[من صندوق],Table4[[#This Row],[الصندوق]],الحركات[مدفوع من شهر],$F$3)</f>
        <v>0</v>
      </c>
      <c r="G12" s="23">
        <f>IFERROR(Table4[[#This Row],[المصروفات الفعلية]]/Table4[[#This Row],[المصروفات حسب الخطة]],"-")</f>
        <v>0</v>
      </c>
      <c r="H12" s="1">
        <f>Table4[[#This Row],[المدخلات حسب الخطة]]-Table4[[#This Row],[المصروفات حسب الخطة]]</f>
        <v>0</v>
      </c>
      <c r="I12" s="1">
        <f>Table4[[#This Row],[المدخلات الفعلية]]-Table4[[#This Row],[المصروفات الفعلية]]</f>
        <v>2000</v>
      </c>
    </row>
    <row r="13" spans="1:9" x14ac:dyDescent="0.3">
      <c r="A13" t="str">
        <f>Table1[[#This Row],[الصندوق]]</f>
        <v>ايجار المنزل</v>
      </c>
      <c r="B13" s="9">
        <f>SUMIFS(الحركات[القيمة / خطة],الحركات[إلى صندوق],Table4[[#This Row],[الصندوق]],الحركات[مدفوع من شهر],$F$3)</f>
        <v>12000</v>
      </c>
      <c r="C13" s="9">
        <f>SUMIFS(الحركات[القيمة الفعلية],الحركات[إلى صندوق],Table4[[#This Row],[الصندوق]],الحركات[مدفوع من شهر],$F$3)</f>
        <v>1500</v>
      </c>
      <c r="D13" s="23">
        <f>IFERROR(Table4[[#This Row],[المدخلات الفعلية]]/Table4[[#This Row],[المدخلات حسب الخطة]],"-")</f>
        <v>0.125</v>
      </c>
      <c r="E13" s="10">
        <f>SUMIFS(الحركات[القيمة / خطة],الحركات[من صندوق],Table4[[#This Row],[الصندوق]],الحركات[مدفوع من شهر],'الوضع في شهر'!$F$3)</f>
        <v>12000</v>
      </c>
      <c r="F13" s="10">
        <f>SUMIFS(الحركات[القيمة الفعلية],الحركات[من صندوق],Table4[[#This Row],[الصندوق]],الحركات[مدفوع من شهر],$F$3)</f>
        <v>0</v>
      </c>
      <c r="G13" s="23">
        <f>IFERROR(Table4[[#This Row],[المصروفات الفعلية]]/Table4[[#This Row],[المصروفات حسب الخطة]],"-")</f>
        <v>0</v>
      </c>
      <c r="H13" s="1">
        <f>Table4[[#This Row],[المدخلات حسب الخطة]]-Table4[[#This Row],[المصروفات حسب الخطة]]</f>
        <v>0</v>
      </c>
      <c r="I13" s="1">
        <f>Table4[[#This Row],[المدخلات الفعلية]]-Table4[[#This Row],[المصروفات الفعلية]]</f>
        <v>1500</v>
      </c>
    </row>
    <row r="14" spans="1:9" x14ac:dyDescent="0.3">
      <c r="A14" t="str">
        <f>Table1[[#This Row],[الصندوق]]</f>
        <v>توفير</v>
      </c>
      <c r="B14" s="9">
        <f>SUMIFS(الحركات[القيمة / خطة],الحركات[إلى صندوق],Table4[[#This Row],[الصندوق]],الحركات[مدفوع من شهر],$F$3)</f>
        <v>2000</v>
      </c>
      <c r="C14" s="9">
        <f>SUMIFS(الحركات[القيمة الفعلية],الحركات[إلى صندوق],Table4[[#This Row],[الصندوق]],الحركات[مدفوع من شهر],$F$3)</f>
        <v>500</v>
      </c>
      <c r="D14" s="23">
        <f>IFERROR(Table4[[#This Row],[المدخلات الفعلية]]/Table4[[#This Row],[المدخلات حسب الخطة]],"-")</f>
        <v>0.25</v>
      </c>
      <c r="E14" s="10">
        <f>SUMIFS(الحركات[القيمة / خطة],الحركات[من صندوق],Table4[[#This Row],[الصندوق]],الحركات[مدفوع من شهر],'الوضع في شهر'!$F$3)</f>
        <v>2000</v>
      </c>
      <c r="F14" s="10">
        <f>SUMIFS(الحركات[القيمة الفعلية],الحركات[من صندوق],Table4[[#This Row],[الصندوق]],الحركات[مدفوع من شهر],$F$3)</f>
        <v>500</v>
      </c>
      <c r="G14" s="23">
        <f>IFERROR(Table4[[#This Row],[المصروفات الفعلية]]/Table4[[#This Row],[المصروفات حسب الخطة]],"-")</f>
        <v>0.25</v>
      </c>
      <c r="H14" s="1">
        <f>Table4[[#This Row],[المدخلات حسب الخطة]]-Table4[[#This Row],[المصروفات حسب الخطة]]</f>
        <v>0</v>
      </c>
      <c r="I14" s="1">
        <f>Table4[[#This Row],[المدخلات الفعلية]]-Table4[[#This Row],[المصروفات الفعلية]]</f>
        <v>0</v>
      </c>
    </row>
    <row r="15" spans="1:9" x14ac:dyDescent="0.3">
      <c r="A15" t="str">
        <f>Table1[[#This Row],[الصندوق]]</f>
        <v>اجازات</v>
      </c>
      <c r="B15" s="9">
        <f>SUMIFS(الحركات[القيمة / خطة],الحركات[إلى صندوق],Table4[[#This Row],[الصندوق]],الحركات[مدفوع من شهر],$F$3)</f>
        <v>2400</v>
      </c>
      <c r="C15" s="9">
        <f>SUMIFS(الحركات[القيمة الفعلية],الحركات[إلى صندوق],Table4[[#This Row],[الصندوق]],الحركات[مدفوع من شهر],$F$3)</f>
        <v>400</v>
      </c>
      <c r="D15" s="23">
        <f>IFERROR(Table4[[#This Row],[المدخلات الفعلية]]/Table4[[#This Row],[المدخلات حسب الخطة]],"-")</f>
        <v>0.16666666666666666</v>
      </c>
      <c r="E15" s="10">
        <f>SUMIFS(الحركات[القيمة / خطة],الحركات[من صندوق],Table4[[#This Row],[الصندوق]],الحركات[مدفوع من شهر],'الوضع في شهر'!$F$3)</f>
        <v>2400</v>
      </c>
      <c r="F15" s="10">
        <f>SUMIFS(الحركات[القيمة الفعلية],الحركات[من صندوق],Table4[[#This Row],[الصندوق]],الحركات[مدفوع من شهر],$F$3)</f>
        <v>0</v>
      </c>
      <c r="G15" s="23">
        <f>IFERROR(Table4[[#This Row],[المصروفات الفعلية]]/Table4[[#This Row],[المصروفات حسب الخطة]],"-")</f>
        <v>0</v>
      </c>
      <c r="H15" s="1">
        <f>Table4[[#This Row],[المدخلات حسب الخطة]]-Table4[[#This Row],[المصروفات حسب الخطة]]</f>
        <v>0</v>
      </c>
      <c r="I15" s="1">
        <f>Table4[[#This Row],[المدخلات الفعلية]]-Table4[[#This Row],[المصروفات الفعلية]]</f>
        <v>400</v>
      </c>
    </row>
    <row r="16" spans="1:9" x14ac:dyDescent="0.3">
      <c r="A16" t="str">
        <f>Table1[[#This Row],[الصندوق]]</f>
        <v>دورات</v>
      </c>
      <c r="B16" s="9">
        <f>SUMIFS(الحركات[القيمة / خطة],الحركات[إلى صندوق],Table4[[#This Row],[الصندوق]],الحركات[مدفوع من شهر],$F$3)</f>
        <v>1000</v>
      </c>
      <c r="C16" s="9">
        <f>SUMIFS(الحركات[القيمة الفعلية],الحركات[إلى صندوق],Table4[[#This Row],[الصندوق]],الحركات[مدفوع من شهر],$F$3)</f>
        <v>200</v>
      </c>
      <c r="D16" s="23">
        <f>IFERROR(Table4[[#This Row],[المدخلات الفعلية]]/Table4[[#This Row],[المدخلات حسب الخطة]],"-")</f>
        <v>0.2</v>
      </c>
      <c r="E16" s="10">
        <f>SUMIFS(الحركات[القيمة / خطة],الحركات[من صندوق],Table4[[#This Row],[الصندوق]],الحركات[مدفوع من شهر],'الوضع في شهر'!$F$3)</f>
        <v>1000</v>
      </c>
      <c r="F16" s="10">
        <f>SUMIFS(الحركات[القيمة الفعلية],الحركات[من صندوق],Table4[[#This Row],[الصندوق]],الحركات[مدفوع من شهر],$F$3)</f>
        <v>0</v>
      </c>
      <c r="G16" s="23">
        <f>IFERROR(Table4[[#This Row],[المصروفات الفعلية]]/Table4[[#This Row],[المصروفات حسب الخطة]],"-")</f>
        <v>0</v>
      </c>
      <c r="H16" s="1">
        <f>Table4[[#This Row],[المدخلات حسب الخطة]]-Table4[[#This Row],[المصروفات حسب الخطة]]</f>
        <v>0</v>
      </c>
      <c r="I16" s="1">
        <f>Table4[[#This Row],[المدخلات الفعلية]]-Table4[[#This Row],[المصروفات الفعلية]]</f>
        <v>200</v>
      </c>
    </row>
    <row r="17" spans="1:9" x14ac:dyDescent="0.3">
      <c r="A17" t="str">
        <f>Table1[[#This Row],[الصندوق]]</f>
        <v>زكاة</v>
      </c>
      <c r="B17" s="9">
        <f>SUMIFS(الحركات[القيمة / خطة],الحركات[إلى صندوق],Table4[[#This Row],[الصندوق]],الحركات[مدفوع من شهر],$F$3)</f>
        <v>800</v>
      </c>
      <c r="C17" s="9">
        <f>SUMIFS(الحركات[القيمة الفعلية],الحركات[إلى صندوق],Table4[[#This Row],[الصندوق]],الحركات[مدفوع من شهر],$F$3)</f>
        <v>200</v>
      </c>
      <c r="D17" s="23">
        <f>IFERROR(Table4[[#This Row],[المدخلات الفعلية]]/Table4[[#This Row],[المدخلات حسب الخطة]],"-")</f>
        <v>0.25</v>
      </c>
      <c r="E17" s="10">
        <f>SUMIFS(الحركات[القيمة / خطة],الحركات[من صندوق],Table4[[#This Row],[الصندوق]],الحركات[مدفوع من شهر],'الوضع في شهر'!$F$3)</f>
        <v>600</v>
      </c>
      <c r="F17" s="10">
        <f>SUMIFS(الحركات[القيمة الفعلية],الحركات[من صندوق],Table4[[#This Row],[الصندوق]],الحركات[مدفوع من شهر],$F$3)</f>
        <v>0</v>
      </c>
      <c r="G17" s="23">
        <f>IFERROR(Table4[[#This Row],[المصروفات الفعلية]]/Table4[[#This Row],[المصروفات حسب الخطة]],"-")</f>
        <v>0</v>
      </c>
      <c r="H17" s="1">
        <f>Table4[[#This Row],[المدخلات حسب الخطة]]-Table4[[#This Row],[المصروفات حسب الخطة]]</f>
        <v>200</v>
      </c>
      <c r="I17" s="1">
        <f>Table4[[#This Row],[المدخلات الفعلية]]-Table4[[#This Row],[المصروفات الفعلية]]</f>
        <v>200</v>
      </c>
    </row>
    <row r="18" spans="1:9" x14ac:dyDescent="0.3">
      <c r="A18" t="str">
        <f>Table1[[#This Row],[الصندوق]]</f>
        <v>صيانة السيارة</v>
      </c>
      <c r="B18" s="9">
        <f>SUMIFS(الحركات[القيمة / خطة],الحركات[إلى صندوق],Table4[[#This Row],[الصندوق]],الحركات[مدفوع من شهر],$F$3)</f>
        <v>1000</v>
      </c>
      <c r="C18" s="9">
        <f>SUMIFS(الحركات[القيمة الفعلية],الحركات[إلى صندوق],Table4[[#This Row],[الصندوق]],الحركات[مدفوع من شهر],$F$3)</f>
        <v>250</v>
      </c>
      <c r="D18" s="23">
        <f>IFERROR(Table4[[#This Row],[المدخلات الفعلية]]/Table4[[#This Row],[المدخلات حسب الخطة]],"-")</f>
        <v>0.25</v>
      </c>
      <c r="E18" s="10">
        <f>SUMIFS(الحركات[القيمة / خطة],الحركات[من صندوق],Table4[[#This Row],[الصندوق]],الحركات[مدفوع من شهر],'الوضع في شهر'!$F$3)</f>
        <v>0</v>
      </c>
      <c r="F18" s="10">
        <f>SUMIFS(الحركات[القيمة الفعلية],الحركات[من صندوق],Table4[[#This Row],[الصندوق]],الحركات[مدفوع من شهر],$F$3)</f>
        <v>0</v>
      </c>
      <c r="G18" s="23" t="str">
        <f>IFERROR(Table4[[#This Row],[المصروفات الفعلية]]/Table4[[#This Row],[المصروفات حسب الخطة]],"-")</f>
        <v>-</v>
      </c>
      <c r="H18" s="1">
        <f>Table4[[#This Row],[المدخلات حسب الخطة]]-Table4[[#This Row],[المصروفات حسب الخطة]]</f>
        <v>1000</v>
      </c>
      <c r="I18" s="1">
        <f>Table4[[#This Row],[المدخلات الفعلية]]-Table4[[#This Row],[المصروفات الفعلية]]</f>
        <v>250</v>
      </c>
    </row>
    <row r="19" spans="1:9" x14ac:dyDescent="0.3">
      <c r="A19" t="str">
        <f>Table1[[#This Row],[الصندوق]]</f>
        <v>ملابس</v>
      </c>
      <c r="B19" s="9">
        <f>SUMIFS(الحركات[القيمة / خطة],الحركات[إلى صندوق],Table4[[#This Row],[الصندوق]],الحركات[مدفوع من شهر],$F$3)</f>
        <v>1140</v>
      </c>
      <c r="C19" s="9">
        <f>SUMIFS(الحركات[القيمة الفعلية],الحركات[إلى صندوق],Table4[[#This Row],[الصندوق]],الحركات[مدفوع من شهر],$F$3)</f>
        <v>285</v>
      </c>
      <c r="D19" s="23">
        <f>IFERROR(Table4[[#This Row],[المدخلات الفعلية]]/Table4[[#This Row],[المدخلات حسب الخطة]],"-")</f>
        <v>0.25</v>
      </c>
      <c r="E19" s="10">
        <f>SUMIFS(الحركات[القيمة / خطة],الحركات[من صندوق],Table4[[#This Row],[الصندوق]],الحركات[مدفوع من شهر],'الوضع في شهر'!$F$3)</f>
        <v>1140</v>
      </c>
      <c r="F19" s="10">
        <f>SUMIFS(الحركات[القيمة الفعلية],الحركات[من صندوق],Table4[[#This Row],[الصندوق]],الحركات[مدفوع من شهر],$F$3)</f>
        <v>285</v>
      </c>
      <c r="G19" s="23">
        <f>IFERROR(Table4[[#This Row],[المصروفات الفعلية]]/Table4[[#This Row],[المصروفات حسب الخطة]],"-")</f>
        <v>0.25</v>
      </c>
      <c r="H19" s="1">
        <f>Table4[[#This Row],[المدخلات حسب الخطة]]-Table4[[#This Row],[المصروفات حسب الخطة]]</f>
        <v>0</v>
      </c>
      <c r="I19" s="1">
        <f>Table4[[#This Row],[المدخلات الفعلية]]-Table4[[#This Row],[المصروفات الفعلية]]</f>
        <v>0</v>
      </c>
    </row>
    <row r="20" spans="1:9" x14ac:dyDescent="0.3">
      <c r="A20" t="str">
        <f>Table1[[#This Row],[الصندوق]]</f>
        <v>هدايا</v>
      </c>
      <c r="B20" s="9">
        <f>SUMIFS(الحركات[القيمة / خطة],الحركات[إلى صندوق],Table4[[#This Row],[الصندوق]],الحركات[مدفوع من شهر],$F$3)</f>
        <v>760</v>
      </c>
      <c r="C20" s="9">
        <f>SUMIFS(الحركات[القيمة الفعلية],الحركات[إلى صندوق],Table4[[#This Row],[الصندوق]],الحركات[مدفوع من شهر],$F$3)</f>
        <v>190</v>
      </c>
      <c r="D20" s="23">
        <f>IFERROR(Table4[[#This Row],[المدخلات الفعلية]]/Table4[[#This Row],[المدخلات حسب الخطة]],"-")</f>
        <v>0.25</v>
      </c>
      <c r="E20" s="10">
        <f>SUMIFS(الحركات[القيمة / خطة],الحركات[من صندوق],Table4[[#This Row],[الصندوق]],الحركات[مدفوع من شهر],'الوضع في شهر'!$F$3)</f>
        <v>760</v>
      </c>
      <c r="F20" s="10">
        <f>SUMIFS(الحركات[القيمة الفعلية],الحركات[من صندوق],Table4[[#This Row],[الصندوق]],الحركات[مدفوع من شهر],$F$3)</f>
        <v>190</v>
      </c>
      <c r="G20" s="23">
        <f>IFERROR(Table4[[#This Row],[المصروفات الفعلية]]/Table4[[#This Row],[المصروفات حسب الخطة]],"-")</f>
        <v>0.25</v>
      </c>
      <c r="H20" s="1">
        <f>Table4[[#This Row],[المدخلات حسب الخطة]]-Table4[[#This Row],[المصروفات حسب الخطة]]</f>
        <v>0</v>
      </c>
      <c r="I20" s="1">
        <f>Table4[[#This Row],[المدخلات الفعلية]]-Table4[[#This Row],[المصروفات الفعلية]]</f>
        <v>0</v>
      </c>
    </row>
    <row r="21" spans="1:9" x14ac:dyDescent="0.3">
      <c r="A21" t="str">
        <f>Table1[[#This Row],[الصندوق]]</f>
        <v>طوارئ</v>
      </c>
      <c r="B21" s="9">
        <f>SUMIFS(الحركات[القيمة / خطة],الحركات[إلى صندوق],Table4[[#This Row],[الصندوق]],الحركات[مدفوع من شهر],$F$3)</f>
        <v>800</v>
      </c>
      <c r="C21" s="9">
        <f>SUMIFS(الحركات[القيمة الفعلية],الحركات[إلى صندوق],Table4[[#This Row],[الصندوق]],الحركات[مدفوع من شهر],$F$3)</f>
        <v>200</v>
      </c>
      <c r="D21" s="23">
        <f>IFERROR(Table4[[#This Row],[المدخلات الفعلية]]/Table4[[#This Row],[المدخلات حسب الخطة]],"-")</f>
        <v>0.25</v>
      </c>
      <c r="E21" s="10">
        <f>SUMIFS(الحركات[القيمة / خطة],الحركات[من صندوق],Table4[[#This Row],[الصندوق]],الحركات[مدفوع من شهر],'الوضع في شهر'!$F$3)</f>
        <v>0</v>
      </c>
      <c r="F21" s="10">
        <f>SUMIFS(الحركات[القيمة الفعلية],الحركات[من صندوق],Table4[[#This Row],[الصندوق]],الحركات[مدفوع من شهر],$F$3)</f>
        <v>0</v>
      </c>
      <c r="G21" s="23" t="str">
        <f>IFERROR(Table4[[#This Row],[المصروفات الفعلية]]/Table4[[#This Row],[المصروفات حسب الخطة]],"-")</f>
        <v>-</v>
      </c>
      <c r="H21" s="1">
        <f>Table4[[#This Row],[المدخلات حسب الخطة]]-Table4[[#This Row],[المصروفات حسب الخطة]]</f>
        <v>800</v>
      </c>
      <c r="I21" s="1">
        <f>Table4[[#This Row],[المدخلات الفعلية]]-Table4[[#This Row],[المصروفات الفعلية]]</f>
        <v>200</v>
      </c>
    </row>
  </sheetData>
  <conditionalFormatting sqref="H7:I21">
    <cfRule type="cellIs" dxfId="20" priority="3" operator="equal">
      <formula>0</formula>
    </cfRule>
    <cfRule type="cellIs" dxfId="19" priority="4" operator="lessThan">
      <formula>0</formula>
    </cfRule>
    <cfRule type="cellIs" dxfId="18" priority="5" operator="greaterThan">
      <formula>0</formula>
    </cfRule>
  </conditionalFormatting>
  <conditionalFormatting sqref="D7:D21">
    <cfRule type="dataBar" priority="2">
      <dataBar>
        <cfvo type="min"/>
        <cfvo type="max"/>
        <color rgb="FF63C384"/>
      </dataBar>
      <extLst>
        <ext xmlns:x14="http://schemas.microsoft.com/office/spreadsheetml/2009/9/main" uri="{B025F937-C7B1-47D3-B67F-A62EFF666E3E}">
          <x14:id>{50327BD8-A321-44C0-849C-EB8B608A446C}</x14:id>
        </ext>
      </extLst>
    </cfRule>
  </conditionalFormatting>
  <conditionalFormatting sqref="G7:G21">
    <cfRule type="dataBar" priority="1">
      <dataBar>
        <cfvo type="min"/>
        <cfvo type="max"/>
        <color rgb="FFFF555A"/>
      </dataBar>
      <extLst>
        <ext xmlns:x14="http://schemas.microsoft.com/office/spreadsheetml/2009/9/main" uri="{B025F937-C7B1-47D3-B67F-A62EFF666E3E}">
          <x14:id>{E2F13235-F2A6-4DDB-BC00-43CD9E24C854}</x14:id>
        </ext>
      </extLst>
    </cfRule>
  </conditionalFormatting>
  <dataValidations count="1">
    <dataValidation type="list" allowBlank="1" showInputMessage="1" showErrorMessage="1" sqref="C3">
      <formula1>"حتى,في"</formula1>
    </dataValidation>
  </dataValidations>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0327BD8-A321-44C0-849C-EB8B608A446C}">
            <x14:dataBar minLength="0" maxLength="100" border="1" negativeBarBorderColorSameAsPositive="0">
              <x14:cfvo type="autoMin"/>
              <x14:cfvo type="autoMax"/>
              <x14:borderColor rgb="FF63C384"/>
              <x14:negativeFillColor rgb="FFFF0000"/>
              <x14:negativeBorderColor rgb="FFFF0000"/>
              <x14:axisColor rgb="FF000000"/>
            </x14:dataBar>
          </x14:cfRule>
          <xm:sqref>D7:D21</xm:sqref>
        </x14:conditionalFormatting>
        <x14:conditionalFormatting xmlns:xm="http://schemas.microsoft.com/office/excel/2006/main">
          <x14:cfRule type="dataBar" id="{E2F13235-F2A6-4DDB-BC00-43CD9E24C854}">
            <x14:dataBar minLength="0" maxLength="100" border="1" negativeBarBorderColorSameAsPositive="0">
              <x14:cfvo type="autoMin"/>
              <x14:cfvo type="autoMax"/>
              <x14:borderColor rgb="FFFF555A"/>
              <x14:negativeFillColor rgb="FFFF0000"/>
              <x14:negativeBorderColor rgb="FFFF0000"/>
              <x14:axisColor rgb="FF000000"/>
            </x14:dataBar>
          </x14:cfRule>
          <xm:sqref>G7:G21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OFFSET(الإعدادات!$A$2,0,0,COUNTA(الإعدادات!A:A)-1,1)</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rightToLeft="1" zoomScale="130" zoomScaleNormal="130" workbookViewId="0">
      <selection activeCell="D12" sqref="D12"/>
    </sheetView>
  </sheetViews>
  <sheetFormatPr defaultRowHeight="14.4" x14ac:dyDescent="0.3"/>
  <cols>
    <col min="1" max="1" width="11.109375" bestFit="1" customWidth="1"/>
    <col min="2" max="2" width="6.5546875" bestFit="1" customWidth="1"/>
    <col min="3" max="3" width="17.33203125" bestFit="1" customWidth="1"/>
    <col min="4" max="4" width="17.77734375" bestFit="1" customWidth="1"/>
    <col min="5" max="5" width="12.44140625" bestFit="1" customWidth="1"/>
    <col min="6" max="6" width="11.77734375" bestFit="1" customWidth="1"/>
  </cols>
  <sheetData>
    <row r="1" spans="1:6" x14ac:dyDescent="0.3">
      <c r="A1" s="38" t="s">
        <v>107</v>
      </c>
      <c r="B1" s="38"/>
      <c r="C1" s="38"/>
      <c r="D1" s="38"/>
      <c r="E1" s="38"/>
      <c r="F1" s="38"/>
    </row>
    <row r="2" spans="1:6" x14ac:dyDescent="0.3">
      <c r="A2" s="38"/>
      <c r="B2" s="38"/>
      <c r="C2" s="38"/>
      <c r="D2" s="38"/>
      <c r="E2" s="38"/>
      <c r="F2" s="38"/>
    </row>
    <row r="3" spans="1:6" x14ac:dyDescent="0.3">
      <c r="A3" s="38"/>
      <c r="B3" s="38"/>
      <c r="C3" s="38"/>
      <c r="D3" s="38"/>
      <c r="E3" s="38"/>
      <c r="F3" s="38"/>
    </row>
    <row r="4" spans="1:6" x14ac:dyDescent="0.3">
      <c r="A4" s="38"/>
      <c r="B4" s="38"/>
      <c r="C4" s="38"/>
      <c r="D4" s="38"/>
      <c r="E4" s="38"/>
      <c r="F4" s="38"/>
    </row>
    <row r="5" spans="1:6" x14ac:dyDescent="0.3">
      <c r="A5" s="29"/>
      <c r="B5" s="29"/>
      <c r="C5" s="29"/>
      <c r="D5" s="29"/>
      <c r="E5" s="29"/>
      <c r="F5" s="29"/>
    </row>
    <row r="6" spans="1:6" x14ac:dyDescent="0.3">
      <c r="A6" t="s">
        <v>6</v>
      </c>
      <c r="B6" t="s">
        <v>19</v>
      </c>
      <c r="C6" t="s">
        <v>85</v>
      </c>
      <c r="D6" t="s">
        <v>86</v>
      </c>
      <c r="E6" t="s">
        <v>83</v>
      </c>
      <c r="F6" t="s">
        <v>87</v>
      </c>
    </row>
    <row r="7" spans="1:6" x14ac:dyDescent="0.3">
      <c r="A7" t="str">
        <f>Table1[[#This Row],[الصندوق]]</f>
        <v>الشركة</v>
      </c>
      <c r="B7" t="str">
        <f>Table1[[#This Row],[نوعه]]</f>
        <v>خارجي</v>
      </c>
      <c r="C7">
        <f>SUMIFS(الحركات[القيمة الفعلية],الحركات[إلى صندوق],Table5[[#This Row],[الصندوق]])</f>
        <v>0</v>
      </c>
      <c r="D7">
        <f>SUMIFS(الحركات[القيمة الفعلية],الحركات[من صندوق],Table5[[#This Row],[الصندوق]])</f>
        <v>10000</v>
      </c>
      <c r="E7">
        <f>Table5[[#This Row],[مجموع الدخل الفعلي]]-Table5[[#This Row],[مجموع الصرف الفعلي]]</f>
        <v>-10000</v>
      </c>
      <c r="F7" s="1" t="b">
        <f>Table5[[#This Row],[الرصيد الفعلي]]=0</f>
        <v>0</v>
      </c>
    </row>
    <row r="8" spans="1:6" x14ac:dyDescent="0.3">
      <c r="A8" t="str">
        <f>Table1[[#This Row],[الصندوق]]</f>
        <v>صرف</v>
      </c>
      <c r="B8" t="str">
        <f>Table1[[#This Row],[نوعه]]</f>
        <v>خارجي</v>
      </c>
      <c r="C8">
        <f>SUMIFS(الحركات[القيمة الفعلية],الحركات[إلى صندوق],Table5[[#This Row],[الصندوق]])</f>
        <v>5025</v>
      </c>
      <c r="D8">
        <f>SUMIFS(الحركات[القيمة الفعلية],الحركات[من صندوق],Table5[[#This Row],[الصندوق]])</f>
        <v>0</v>
      </c>
      <c r="E8">
        <f>Table5[[#This Row],[مجموع الدخل الفعلي]]-Table5[[#This Row],[مجموع الصرف الفعلي]]</f>
        <v>5025</v>
      </c>
      <c r="F8" s="1" t="b">
        <f>Table5[[#This Row],[الرصيد الفعلي]]=0</f>
        <v>0</v>
      </c>
    </row>
    <row r="9" spans="1:6" x14ac:dyDescent="0.3">
      <c r="A9" t="str">
        <f>Table1[[#This Row],[الصندوق]]</f>
        <v>الراتب</v>
      </c>
      <c r="B9" t="str">
        <f>Table1[[#This Row],[نوعه]]</f>
        <v>دخل</v>
      </c>
      <c r="C9">
        <f>SUMIFS(الحركات[القيمة الفعلية],الحركات[إلى صندوق],Table5[[#This Row],[الصندوق]])</f>
        <v>10000</v>
      </c>
      <c r="D9" s="27">
        <f>SUMIFS(الحركات[القيمة الفعلية],الحركات[من صندوق],Table5[[#This Row],[الصندوق]])</f>
        <v>9775</v>
      </c>
      <c r="E9">
        <f>Table5[[#This Row],[مجموع الدخل الفعلي]]-Table5[[#This Row],[مجموع الصرف الفعلي]]</f>
        <v>225</v>
      </c>
      <c r="F9" s="1" t="b">
        <f>Table5[[#This Row],[الرصيد الفعلي]]=0</f>
        <v>0</v>
      </c>
    </row>
    <row r="10" spans="1:6" x14ac:dyDescent="0.3">
      <c r="A10" t="str">
        <f>Table1[[#This Row],[الصندوق]]</f>
        <v>فواتير</v>
      </c>
      <c r="B10" t="str">
        <f>Table1[[#This Row],[نوعه]]</f>
        <v>صرف</v>
      </c>
      <c r="C10">
        <f>SUMIFS(الحركات[القيمة الفعلية],الحركات[إلى صندوق],Table5[[#This Row],[الصندوق]])</f>
        <v>250</v>
      </c>
      <c r="D10">
        <f>SUMIFS(الحركات[القيمة الفعلية],الحركات[من صندوق],Table5[[#This Row],[الصندوق]])</f>
        <v>250</v>
      </c>
      <c r="E10">
        <f>Table5[[#This Row],[مجموع الدخل الفعلي]]-Table5[[#This Row],[مجموع الصرف الفعلي]]</f>
        <v>0</v>
      </c>
      <c r="F10" s="1" t="b">
        <f>Table5[[#This Row],[الرصيد الفعلي]]=0</f>
        <v>1</v>
      </c>
    </row>
    <row r="11" spans="1:6" x14ac:dyDescent="0.3">
      <c r="A11" t="str">
        <f>Table1[[#This Row],[الصندوق]]</f>
        <v>مصاريف شهرية</v>
      </c>
      <c r="B11" t="str">
        <f>Table1[[#This Row],[نوعه]]</f>
        <v>صرف</v>
      </c>
      <c r="C11">
        <f>SUMIFS(الحركات[القيمة الفعلية],الحركات[إلى صندوق],Table5[[#This Row],[الصندوق]])</f>
        <v>3800</v>
      </c>
      <c r="D11">
        <f>SUMIFS(الحركات[القيمة الفعلية],الحركات[من صندوق],Table5[[#This Row],[الصندوق]])</f>
        <v>3800</v>
      </c>
      <c r="E11">
        <f>Table5[[#This Row],[مجموع الدخل الفعلي]]-Table5[[#This Row],[مجموع الصرف الفعلي]]</f>
        <v>0</v>
      </c>
      <c r="F11" s="1" t="b">
        <f>Table5[[#This Row],[الرصيد الفعلي]]=0</f>
        <v>1</v>
      </c>
    </row>
    <row r="12" spans="1:6" x14ac:dyDescent="0.3">
      <c r="A12" t="str">
        <f>Table1[[#This Row],[الصندوق]]</f>
        <v>مدارس</v>
      </c>
      <c r="B12" t="str">
        <f>Table1[[#This Row],[نوعه]]</f>
        <v>صرف</v>
      </c>
      <c r="C12">
        <f>SUMIFS(الحركات[القيمة الفعلية],الحركات[إلى صندوق],Table5[[#This Row],[الصندوق]])</f>
        <v>2000</v>
      </c>
      <c r="D12">
        <f>SUMIFS(الحركات[القيمة الفعلية],الحركات[من صندوق],Table5[[#This Row],[الصندوق]])</f>
        <v>0</v>
      </c>
      <c r="E12">
        <f>Table5[[#This Row],[مجموع الدخل الفعلي]]-Table5[[#This Row],[مجموع الصرف الفعلي]]</f>
        <v>2000</v>
      </c>
      <c r="F12" s="1" t="b">
        <f>Table5[[#This Row],[الرصيد الفعلي]]=0</f>
        <v>0</v>
      </c>
    </row>
    <row r="13" spans="1:6" x14ac:dyDescent="0.3">
      <c r="A13" t="str">
        <f>Table1[[#This Row],[الصندوق]]</f>
        <v>ايجار المنزل</v>
      </c>
      <c r="B13" t="str">
        <f>Table1[[#This Row],[نوعه]]</f>
        <v>صرف</v>
      </c>
      <c r="C13">
        <f>SUMIFS(الحركات[القيمة الفعلية],الحركات[إلى صندوق],Table5[[#This Row],[الصندوق]])</f>
        <v>1500</v>
      </c>
      <c r="D13">
        <f>SUMIFS(الحركات[القيمة الفعلية],الحركات[من صندوق],Table5[[#This Row],[الصندوق]])</f>
        <v>0</v>
      </c>
      <c r="E13">
        <f>Table5[[#This Row],[مجموع الدخل الفعلي]]-Table5[[#This Row],[مجموع الصرف الفعلي]]</f>
        <v>1500</v>
      </c>
      <c r="F13" s="1" t="b">
        <f>Table5[[#This Row],[الرصيد الفعلي]]=0</f>
        <v>0</v>
      </c>
    </row>
    <row r="14" spans="1:6" x14ac:dyDescent="0.3">
      <c r="A14" t="str">
        <f>Table1[[#This Row],[الصندوق]]</f>
        <v>توفير</v>
      </c>
      <c r="B14" t="str">
        <f>Table1[[#This Row],[نوعه]]</f>
        <v>صرف</v>
      </c>
      <c r="C14">
        <f>SUMIFS(الحركات[القيمة الفعلية],الحركات[إلى صندوق],Table5[[#This Row],[الصندوق]])</f>
        <v>500</v>
      </c>
      <c r="D14">
        <f>SUMIFS(الحركات[القيمة الفعلية],الحركات[من صندوق],Table5[[#This Row],[الصندوق]])</f>
        <v>500</v>
      </c>
      <c r="E14">
        <f>Table5[[#This Row],[مجموع الدخل الفعلي]]-Table5[[#This Row],[مجموع الصرف الفعلي]]</f>
        <v>0</v>
      </c>
      <c r="F14" s="1" t="b">
        <f>Table5[[#This Row],[الرصيد الفعلي]]=0</f>
        <v>1</v>
      </c>
    </row>
    <row r="15" spans="1:6" x14ac:dyDescent="0.3">
      <c r="A15" t="str">
        <f>Table1[[#This Row],[الصندوق]]</f>
        <v>اجازات</v>
      </c>
      <c r="B15" t="str">
        <f>Table1[[#This Row],[نوعه]]</f>
        <v>صرف</v>
      </c>
      <c r="C15">
        <f>SUMIFS(الحركات[القيمة الفعلية],الحركات[إلى صندوق],Table5[[#This Row],[الصندوق]])</f>
        <v>400</v>
      </c>
      <c r="D15">
        <f>SUMIFS(الحركات[القيمة الفعلية],الحركات[من صندوق],Table5[[#This Row],[الصندوق]])</f>
        <v>0</v>
      </c>
      <c r="E15">
        <f>Table5[[#This Row],[مجموع الدخل الفعلي]]-Table5[[#This Row],[مجموع الصرف الفعلي]]</f>
        <v>400</v>
      </c>
      <c r="F15" s="1" t="b">
        <f>Table5[[#This Row],[الرصيد الفعلي]]=0</f>
        <v>0</v>
      </c>
    </row>
    <row r="16" spans="1:6" x14ac:dyDescent="0.3">
      <c r="A16" t="str">
        <f>Table1[[#This Row],[الصندوق]]</f>
        <v>دورات</v>
      </c>
      <c r="B16" t="str">
        <f>Table1[[#This Row],[نوعه]]</f>
        <v>صرف</v>
      </c>
      <c r="C16">
        <f>SUMIFS(الحركات[القيمة الفعلية],الحركات[إلى صندوق],Table5[[#This Row],[الصندوق]])</f>
        <v>200</v>
      </c>
      <c r="D16">
        <f>SUMIFS(الحركات[القيمة الفعلية],الحركات[من صندوق],Table5[[#This Row],[الصندوق]])</f>
        <v>0</v>
      </c>
      <c r="E16">
        <f>Table5[[#This Row],[مجموع الدخل الفعلي]]-Table5[[#This Row],[مجموع الصرف الفعلي]]</f>
        <v>200</v>
      </c>
      <c r="F16" s="1" t="b">
        <f>Table5[[#This Row],[الرصيد الفعلي]]=0</f>
        <v>0</v>
      </c>
    </row>
    <row r="17" spans="1:6" x14ac:dyDescent="0.3">
      <c r="A17" t="str">
        <f>Table1[[#This Row],[الصندوق]]</f>
        <v>زكاة</v>
      </c>
      <c r="B17" t="str">
        <f>Table1[[#This Row],[نوعه]]</f>
        <v>صرف</v>
      </c>
      <c r="C17">
        <f>SUMIFS(الحركات[القيمة الفعلية],الحركات[إلى صندوق],Table5[[#This Row],[الصندوق]])</f>
        <v>200</v>
      </c>
      <c r="D17">
        <f>SUMIFS(الحركات[القيمة الفعلية],الحركات[من صندوق],Table5[[#This Row],[الصندوق]])</f>
        <v>0</v>
      </c>
      <c r="E17">
        <f>Table5[[#This Row],[مجموع الدخل الفعلي]]-Table5[[#This Row],[مجموع الصرف الفعلي]]</f>
        <v>200</v>
      </c>
      <c r="F17" s="1" t="b">
        <f>Table5[[#This Row],[الرصيد الفعلي]]=0</f>
        <v>0</v>
      </c>
    </row>
    <row r="18" spans="1:6" x14ac:dyDescent="0.3">
      <c r="A18" t="str">
        <f>Table1[[#This Row],[الصندوق]]</f>
        <v>صيانة السيارة</v>
      </c>
      <c r="B18" t="str">
        <f>Table1[[#This Row],[نوعه]]</f>
        <v>صرف</v>
      </c>
      <c r="C18">
        <f>SUMIFS(الحركات[القيمة الفعلية],الحركات[إلى صندوق],Table5[[#This Row],[الصندوق]])</f>
        <v>250</v>
      </c>
      <c r="D18">
        <f>SUMIFS(الحركات[القيمة الفعلية],الحركات[من صندوق],Table5[[#This Row],[الصندوق]])</f>
        <v>0</v>
      </c>
      <c r="E18">
        <f>Table5[[#This Row],[مجموع الدخل الفعلي]]-Table5[[#This Row],[مجموع الصرف الفعلي]]</f>
        <v>250</v>
      </c>
      <c r="F18" s="1" t="b">
        <f>Table5[[#This Row],[الرصيد الفعلي]]=0</f>
        <v>0</v>
      </c>
    </row>
    <row r="19" spans="1:6" x14ac:dyDescent="0.3">
      <c r="A19" t="str">
        <f>Table1[[#This Row],[الصندوق]]</f>
        <v>ملابس</v>
      </c>
      <c r="B19" t="str">
        <f>Table1[[#This Row],[نوعه]]</f>
        <v>صرف</v>
      </c>
      <c r="C19">
        <f>SUMIFS(الحركات[القيمة الفعلية],الحركات[إلى صندوق],Table5[[#This Row],[الصندوق]])</f>
        <v>285</v>
      </c>
      <c r="D19">
        <f>SUMIFS(الحركات[القيمة الفعلية],الحركات[من صندوق],Table5[[#This Row],[الصندوق]])</f>
        <v>285</v>
      </c>
      <c r="E19">
        <f>Table5[[#This Row],[مجموع الدخل الفعلي]]-Table5[[#This Row],[مجموع الصرف الفعلي]]</f>
        <v>0</v>
      </c>
      <c r="F19" s="1" t="b">
        <f>Table5[[#This Row],[الرصيد الفعلي]]=0</f>
        <v>1</v>
      </c>
    </row>
    <row r="20" spans="1:6" x14ac:dyDescent="0.3">
      <c r="A20" t="str">
        <f>Table1[[#This Row],[الصندوق]]</f>
        <v>هدايا</v>
      </c>
      <c r="B20" t="str">
        <f>Table1[[#This Row],[نوعه]]</f>
        <v>صرف</v>
      </c>
      <c r="C20">
        <f>SUMIFS(الحركات[القيمة الفعلية],الحركات[إلى صندوق],Table5[[#This Row],[الصندوق]])</f>
        <v>190</v>
      </c>
      <c r="D20">
        <f>SUMIFS(الحركات[القيمة الفعلية],الحركات[من صندوق],Table5[[#This Row],[الصندوق]])</f>
        <v>190</v>
      </c>
      <c r="E20">
        <f>Table5[[#This Row],[مجموع الدخل الفعلي]]-Table5[[#This Row],[مجموع الصرف الفعلي]]</f>
        <v>0</v>
      </c>
      <c r="F20" s="1" t="b">
        <f>Table5[[#This Row],[الرصيد الفعلي]]=0</f>
        <v>1</v>
      </c>
    </row>
    <row r="21" spans="1:6" x14ac:dyDescent="0.3">
      <c r="A21" t="str">
        <f>Table1[[#This Row],[الصندوق]]</f>
        <v>طوارئ</v>
      </c>
      <c r="B21" t="str">
        <f>Table1[[#This Row],[نوعه]]</f>
        <v>صرف</v>
      </c>
      <c r="C21">
        <f>SUMIFS(الحركات[القيمة الفعلية],الحركات[إلى صندوق],Table5[[#This Row],[الصندوق]])</f>
        <v>200</v>
      </c>
      <c r="D21">
        <f>SUMIFS(الحركات[القيمة الفعلية],الحركات[من صندوق],Table5[[#This Row],[الصندوق]])</f>
        <v>0</v>
      </c>
      <c r="E21">
        <f>Table5[[#This Row],[مجموع الدخل الفعلي]]-Table5[[#This Row],[مجموع الصرف الفعلي]]</f>
        <v>200</v>
      </c>
      <c r="F21" s="1" t="b">
        <f>Table5[[#This Row],[الرصيد الفعلي]]=0</f>
        <v>0</v>
      </c>
    </row>
  </sheetData>
  <mergeCells count="1">
    <mergeCell ref="A1:F4"/>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rightToLeft="1" zoomScale="120" zoomScaleNormal="120" workbookViewId="0">
      <selection activeCell="A3" sqref="A3"/>
    </sheetView>
  </sheetViews>
  <sheetFormatPr defaultRowHeight="14.4" x14ac:dyDescent="0.3"/>
  <cols>
    <col min="1" max="16384" width="8.88671875" style="29"/>
  </cols>
  <sheetData>
    <row r="1" spans="1:3" x14ac:dyDescent="0.3">
      <c r="A1" s="35" t="s">
        <v>44</v>
      </c>
      <c r="C1" s="35" t="s">
        <v>35</v>
      </c>
    </row>
    <row r="2" spans="1:3" x14ac:dyDescent="0.3">
      <c r="A2" s="35">
        <v>201801</v>
      </c>
      <c r="C2" s="35" t="s">
        <v>45</v>
      </c>
    </row>
    <row r="3" spans="1:3" x14ac:dyDescent="0.3">
      <c r="A3" s="35">
        <v>201802</v>
      </c>
      <c r="C3" s="35" t="s">
        <v>46</v>
      </c>
    </row>
    <row r="4" spans="1:3" x14ac:dyDescent="0.3">
      <c r="A4" s="35">
        <v>201803</v>
      </c>
    </row>
    <row r="5" spans="1:3" x14ac:dyDescent="0.3">
      <c r="A5" s="35">
        <v>201804</v>
      </c>
    </row>
    <row r="6" spans="1:3" x14ac:dyDescent="0.3">
      <c r="A6" s="35">
        <v>201805</v>
      </c>
    </row>
    <row r="7" spans="1:3" x14ac:dyDescent="0.3">
      <c r="A7" s="35">
        <v>201806</v>
      </c>
    </row>
    <row r="8" spans="1:3" x14ac:dyDescent="0.3">
      <c r="A8" s="35">
        <v>201807</v>
      </c>
    </row>
    <row r="9" spans="1:3" x14ac:dyDescent="0.3">
      <c r="A9" s="35">
        <v>201808</v>
      </c>
    </row>
    <row r="10" spans="1:3" x14ac:dyDescent="0.3">
      <c r="A10" s="35">
        <v>201809</v>
      </c>
    </row>
    <row r="11" spans="1:3" x14ac:dyDescent="0.3">
      <c r="A11" s="35">
        <v>201810</v>
      </c>
    </row>
    <row r="12" spans="1:3" x14ac:dyDescent="0.3">
      <c r="A12" s="35">
        <v>201811</v>
      </c>
    </row>
    <row r="13" spans="1:3" x14ac:dyDescent="0.3">
      <c r="A13" s="35">
        <v>201812</v>
      </c>
    </row>
    <row r="14" spans="1:3" x14ac:dyDescent="0.3">
      <c r="A14" s="35">
        <v>201901</v>
      </c>
    </row>
    <row r="15" spans="1:3" x14ac:dyDescent="0.3">
      <c r="A15" s="35">
        <v>201902</v>
      </c>
    </row>
    <row r="16" spans="1:3" x14ac:dyDescent="0.3">
      <c r="A16" s="35">
        <v>201903</v>
      </c>
    </row>
    <row r="17" spans="1:1" x14ac:dyDescent="0.3">
      <c r="A17" s="35">
        <v>201904</v>
      </c>
    </row>
    <row r="18" spans="1:1" x14ac:dyDescent="0.3">
      <c r="A18" s="35">
        <v>201905</v>
      </c>
    </row>
    <row r="19" spans="1:1" x14ac:dyDescent="0.3">
      <c r="A19" s="35">
        <v>201906</v>
      </c>
    </row>
    <row r="20" spans="1:1" x14ac:dyDescent="0.3">
      <c r="A20" s="35">
        <v>201907</v>
      </c>
    </row>
    <row r="21" spans="1:1" x14ac:dyDescent="0.3">
      <c r="A21" s="35">
        <v>201908</v>
      </c>
    </row>
    <row r="22" spans="1:1" x14ac:dyDescent="0.3">
      <c r="A22" s="35">
        <v>201909</v>
      </c>
    </row>
    <row r="23" spans="1:1" x14ac:dyDescent="0.3">
      <c r="A23" s="35">
        <v>201910</v>
      </c>
    </row>
    <row r="24" spans="1:1" x14ac:dyDescent="0.3">
      <c r="A24" s="35">
        <v>201911</v>
      </c>
    </row>
    <row r="25" spans="1:1" x14ac:dyDescent="0.3">
      <c r="A25" s="35">
        <v>201912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إعدادات الصناديق</vt:lpstr>
      <vt:lpstr>الحركات</vt:lpstr>
      <vt:lpstr>12 شهرا</vt:lpstr>
      <vt:lpstr>الوضع في شهر</vt:lpstr>
      <vt:lpstr>الارصدة الفعلية</vt:lpstr>
      <vt:lpstr>الإعدادات</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Akram Abwa</dc:creator>
  <cp:lastModifiedBy>akram</cp:lastModifiedBy>
  <dcterms:created xsi:type="dcterms:W3CDTF">2014-12-31T10:43:22Z</dcterms:created>
  <dcterms:modified xsi:type="dcterms:W3CDTF">2018-07-12T19:15:42Z</dcterms:modified>
</cp:coreProperties>
</file>