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3.bin" ContentType="application/vnd.openxmlformats-officedocument.oleObject"/>
  <Default Extension="jpeg" ContentType="image/jpeg"/>
  <Override PartName="/xl/charts/chart2.xml" ContentType="application/vnd.openxmlformats-officedocument.drawingml.char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405" yWindow="15" windowWidth="15315" windowHeight="8925"/>
  </bookViews>
  <sheets>
    <sheet name="B-1" sheetId="4" r:id="rId1"/>
  </sheets>
  <externalReferences>
    <externalReference r:id="rId2"/>
    <externalReference r:id="rId3"/>
    <externalReference r:id="rId4"/>
  </externalReferences>
  <definedNames>
    <definedName name="\a">#N/A</definedName>
    <definedName name="\c">#N/A</definedName>
    <definedName name="\i">#N/A</definedName>
    <definedName name="\p">#N/A</definedName>
    <definedName name="_" localSheetId="0">#REF!</definedName>
    <definedName name="_">#REF!</definedName>
    <definedName name="__123Graph_A" localSheetId="0" hidden="1">'B-1'!$I$167:$I$177</definedName>
    <definedName name="__123Graph_A" hidden="1">'[1]ตาราง 6.17'!$U$18:$U$28</definedName>
    <definedName name="__123Graph_AG" hidden="1">'[1]ตัวอย่าง 2'!$H$5:$H$11</definedName>
    <definedName name="__123Graph_APLOT" hidden="1">[2]VT2525!$K$22:$K$24</definedName>
    <definedName name="__123Graph_B" localSheetId="0" hidden="1">'B-1'!$J$167:$J$177</definedName>
    <definedName name="__123Graph_B" hidden="1">'[3]NO-BARS'!$B$9:$L$9</definedName>
    <definedName name="__123Graph_BG" hidden="1">'[1]ตัวอย่าง 2'!$I$5:$I$11</definedName>
    <definedName name="__123Graph_BPLOT" hidden="1">[2]VT2525!$L$22:$L$24</definedName>
    <definedName name="__123Graph_C" hidden="1">'[1]ตาราง 6.17'!$X$18:$X$28</definedName>
    <definedName name="__123Graph_CPLOT" hidden="1">[2]VT2525!$G$22:$G$23</definedName>
    <definedName name="__123Graph_D" hidden="1">'[1]ตาราง 6.17'!$AA$18:$AA$28</definedName>
    <definedName name="__123Graph_E" hidden="1">'[3]NO-BARS'!$B$24:$L$24</definedName>
    <definedName name="__123Graph_F" hidden="1">'[1]ตาราง 6.17'!$AB$18:$AB$28</definedName>
    <definedName name="__123Graph_LBL_A" localSheetId="0" hidden="1">'B-1'!$I$167:$I$177</definedName>
    <definedName name="__123Graph_LBL_A" hidden="1">'[1]ตาราง 6.17'!$U$18:$U$28</definedName>
    <definedName name="__123Graph_LBL_AG" hidden="1">'[1]ตัวอย่าง 2'!$J$5:$J$11</definedName>
    <definedName name="__123Graph_LBL_APLOT" hidden="1">[2]VT2525!$K$22:$K$24</definedName>
    <definedName name="__123Graph_LBL_B" localSheetId="0" hidden="1">'B-1'!$J$167:$J$177</definedName>
    <definedName name="__123Graph_LBL_B" hidden="1">'[3]NO-BARS'!$B$73:$L$73</definedName>
    <definedName name="__123Graph_LBL_BG" hidden="1">'[1]ตัวอย่าง 2'!$K$5:$K$11</definedName>
    <definedName name="__123Graph_LBL_BPLOT" hidden="1">[2]VT2525!$L$22:$L$24</definedName>
    <definedName name="__123Graph_LBL_C" hidden="1">'[1]ตาราง 6.17'!$X$18:$X$28</definedName>
    <definedName name="__123Graph_LBL_CPLOT" hidden="1">[2]VT2525!$G$22:$G$23</definedName>
    <definedName name="__123Graph_LBL_D" hidden="1">'[1]ตาราง 6.17'!$AA$18:$AA$28</definedName>
    <definedName name="__123Graph_LBL_E" hidden="1">'[3]NO-BARS'!$B$76:$L$76</definedName>
    <definedName name="__123Graph_LBL_F" hidden="1">'[1]ตาราง 6.17'!$AB$18:$AB$28</definedName>
    <definedName name="__123Graph_X" localSheetId="0" hidden="1">'B-1'!$H$167:$H$177</definedName>
    <definedName name="__123Graph_X" hidden="1">'[1]ตาราง 6.17'!$A$18:$A$28</definedName>
    <definedName name="__123Graph_XG" hidden="1">'[1]ตัวอย่าง 2'!$C$5:$C$11</definedName>
    <definedName name="__123Graph_XPLOT" hidden="1">[2]VT2525!$J$22:$J$24</definedName>
    <definedName name="_1">#N/A</definedName>
    <definedName name="_2">#N/A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255</definedName>
    <definedName name="_Regression_Int" localSheetId="0" hidden="1">1</definedName>
    <definedName name="_Sort" localSheetId="0" hidden="1">#REF!</definedName>
    <definedName name="_Sort" hidden="1">#REF!</definedName>
    <definedName name="_TI1" localSheetId="0">#REF!</definedName>
    <definedName name="_TI1">#REF!</definedName>
    <definedName name="_TI2" localSheetId="0">#REF!</definedName>
    <definedName name="_TI2">#REF!</definedName>
    <definedName name="A" localSheetId="0">#REF!</definedName>
    <definedName name="A">#REF!</definedName>
    <definedName name="AG" localSheetId="0">#REF!</definedName>
    <definedName name="AG">#REF!</definedName>
    <definedName name="AS_NEGP">#N/A</definedName>
    <definedName name="AS_NEGR">#N/A</definedName>
    <definedName name="AS_POSP" localSheetId="0">'B-1'!$J$39</definedName>
    <definedName name="AS_POSP">#REF!</definedName>
    <definedName name="AS_POSR" localSheetId="0">'B-1'!$I$39</definedName>
    <definedName name="AS_POSR">#REF!</definedName>
    <definedName name="ASL_" localSheetId="0">#REF!</definedName>
    <definedName name="ASL_">#REF!</definedName>
    <definedName name="ASMNEGP">#N/A</definedName>
    <definedName name="ASMNEGR">#N/A</definedName>
    <definedName name="ASMPOSP" localSheetId="0">'B-1'!$J$40</definedName>
    <definedName name="ASMPOSP">#REF!</definedName>
    <definedName name="ASMPOSR" localSheetId="0">'B-1'!$P$40</definedName>
    <definedName name="ASMPOSR">#REF!</definedName>
    <definedName name="ASNEGP">#N/A</definedName>
    <definedName name="ASNEGR">#N/A</definedName>
    <definedName name="ASPOSP" localSheetId="0">'B-1'!$J$38</definedName>
    <definedName name="ASPOSP">#REF!</definedName>
    <definedName name="ASPOSR" localSheetId="0">'B-1'!$I$38</definedName>
    <definedName name="ASPOSR">#REF!</definedName>
    <definedName name="ASS_" localSheetId="0">#REF!</definedName>
    <definedName name="ASS_">#REF!</definedName>
    <definedName name="AST" localSheetId="0">#REF!</definedName>
    <definedName name="AST">#REF!</definedName>
    <definedName name="B" localSheetId="0">'B-1'!$J$22</definedName>
    <definedName name="B">#REF!</definedName>
    <definedName name="C_">#N/A</definedName>
    <definedName name="CL_" localSheetId="0">#REF!</definedName>
    <definedName name="CL_">#REF!</definedName>
    <definedName name="COLUMN" localSheetId="0">#REF!</definedName>
    <definedName name="COLUMN">#REF!</definedName>
    <definedName name="COVER" localSheetId="0">'B-1'!$J$26</definedName>
    <definedName name="COVER">#REF!</definedName>
    <definedName name="CS_" localSheetId="0">#REF!</definedName>
    <definedName name="CS_">#REF!</definedName>
    <definedName name="CXY" localSheetId="0">#REF!</definedName>
    <definedName name="CXY">#REF!</definedName>
    <definedName name="D" localSheetId="0">#REF!</definedName>
    <definedName name="D">#REF!</definedName>
    <definedName name="D_" localSheetId="0">#REF!</definedName>
    <definedName name="D_">#REF!</definedName>
    <definedName name="DEPTH" localSheetId="0">#REF!</definedName>
    <definedName name="DEPTH">#REF!</definedName>
    <definedName name="DIA" localSheetId="0">#REF!</definedName>
    <definedName name="DIA">#REF!</definedName>
    <definedName name="DNEG" localSheetId="0">'B-1'!$I$34</definedName>
    <definedName name="DNEG">#REF!</definedName>
    <definedName name="DPOS" localSheetId="0">'B-1'!$J$34</definedName>
    <definedName name="DPOS">#REF!</definedName>
    <definedName name="DREQ">#N/A</definedName>
    <definedName name="DS" localSheetId="0">#REF!</definedName>
    <definedName name="DS">#REF!</definedName>
    <definedName name="DSDT">#N/A</definedName>
    <definedName name="E">#N/A</definedName>
    <definedName name="EC" localSheetId="0">'B-1'!$J$12</definedName>
    <definedName name="EC">#REF!</definedName>
    <definedName name="ECCA" localSheetId="0">#REF!</definedName>
    <definedName name="ECCA">#REF!</definedName>
    <definedName name="ECCB" localSheetId="0">#REF!</definedName>
    <definedName name="ECCB">#REF!</definedName>
    <definedName name="ECCX" localSheetId="0">#REF!</definedName>
    <definedName name="ECCX">#REF!</definedName>
    <definedName name="ECCY" localSheetId="0">#REF!</definedName>
    <definedName name="ECCY">#REF!</definedName>
    <definedName name="ES" localSheetId="0">'B-1'!$I$8</definedName>
    <definedName name="ES">#REF!</definedName>
    <definedName name="F">#N/A</definedName>
    <definedName name="FA" localSheetId="0">#REF!</definedName>
    <definedName name="FA">#REF!</definedName>
    <definedName name="FA_" localSheetId="0">#REF!</definedName>
    <definedName name="FA_">#REF!</definedName>
    <definedName name="FACTOR" localSheetId="0">'B-1'!$J$10</definedName>
    <definedName name="FACTOR">#REF!</definedName>
    <definedName name="FB_" localSheetId="0">#REF!</definedName>
    <definedName name="FB_">#REF!</definedName>
    <definedName name="FBX" localSheetId="0">#REF!</definedName>
    <definedName name="FBX">#REF!</definedName>
    <definedName name="FBY" localSheetId="0">#REF!</definedName>
    <definedName name="FBY">#REF!</definedName>
    <definedName name="FC" localSheetId="0">'B-1'!$J$11</definedName>
    <definedName name="FC">#REF!</definedName>
    <definedName name="FC_" localSheetId="0">'B-1'!$J$9</definedName>
    <definedName name="FC_">#REF!</definedName>
    <definedName name="FL" localSheetId="0">#REF!</definedName>
    <definedName name="FL">#REF!</definedName>
    <definedName name="FS" localSheetId="0">'B-1'!$J$7</definedName>
    <definedName name="FS">#REF!</definedName>
    <definedName name="FS_" localSheetId="0">#REF!</definedName>
    <definedName name="FS_">#REF!</definedName>
    <definedName name="FY" localSheetId="0">'B-1'!#REF!</definedName>
    <definedName name="FY">#REF!</definedName>
    <definedName name="G">#N/A</definedName>
    <definedName name="H">#N/A</definedName>
    <definedName name="IXIY" localSheetId="0">#REF!</definedName>
    <definedName name="IXIY">#REF!</definedName>
    <definedName name="IXY" localSheetId="0">#REF!</definedName>
    <definedName name="IXY">#REF!</definedName>
    <definedName name="J" localSheetId="0">'B-1'!$J$15</definedName>
    <definedName name="J">#REF!</definedName>
    <definedName name="K" localSheetId="0">'B-1'!$J$14</definedName>
    <definedName name="K">#REF!</definedName>
    <definedName name="L" localSheetId="0">'B-1'!$J$27</definedName>
    <definedName name="L">#REF!</definedName>
    <definedName name="LL" localSheetId="0">#REF!</definedName>
    <definedName name="LL">#REF!</definedName>
    <definedName name="M" localSheetId="0">#REF!</definedName>
    <definedName name="M">#REF!</definedName>
    <definedName name="M0XY" localSheetId="0">#REF!</definedName>
    <definedName name="M0XY">#REF!</definedName>
    <definedName name="MA" localSheetId="0">#REF!</definedName>
    <definedName name="MA">#REF!</definedName>
    <definedName name="MB" localSheetId="0">#REF!</definedName>
    <definedName name="MB">#REF!</definedName>
    <definedName name="MMAX" localSheetId="0">#REF!</definedName>
    <definedName name="MMAX">#REF!</definedName>
    <definedName name="MNEG" localSheetId="0">'B-1'!$I$18</definedName>
    <definedName name="MNEG">#REF!</definedName>
    <definedName name="MPOS" localSheetId="0">'B-1'!$J$18</definedName>
    <definedName name="MPOS">#REF!</definedName>
    <definedName name="MR" localSheetId="0">#REF!</definedName>
    <definedName name="MR">#REF!</definedName>
    <definedName name="MRNEG" localSheetId="0">'B-1'!$I$35</definedName>
    <definedName name="MRNEG">#REF!</definedName>
    <definedName name="MRPOS" localSheetId="0">'B-1'!$J$35</definedName>
    <definedName name="MRPOS">#REF!</definedName>
    <definedName name="MRX" localSheetId="0">#REF!</definedName>
    <definedName name="MRX">#REF!</definedName>
    <definedName name="MRY" localSheetId="0">#REF!</definedName>
    <definedName name="MRY">#REF!</definedName>
    <definedName name="MS" localSheetId="0">#REF!</definedName>
    <definedName name="MS">#REF!</definedName>
    <definedName name="MTOTAL" localSheetId="0">#REF!</definedName>
    <definedName name="MTOTAL">#REF!</definedName>
    <definedName name="MX" localSheetId="0">#REF!</definedName>
    <definedName name="MX">#REF!</definedName>
    <definedName name="MXTOTAL" localSheetId="0">#REF!</definedName>
    <definedName name="MXTOTAL">#REF!</definedName>
    <definedName name="MY" localSheetId="0">#REF!</definedName>
    <definedName name="MY">#REF!</definedName>
    <definedName name="MYTOTAL" localSheetId="0">#REF!</definedName>
    <definedName name="MYTOTAL">#REF!</definedName>
    <definedName name="N" localSheetId="0">'B-1'!$J$13</definedName>
    <definedName name="N">#REF!</definedName>
    <definedName name="NO" localSheetId="0">#REF!</definedName>
    <definedName name="NO">#REF!</definedName>
    <definedName name="NOCOL" localSheetId="0">#REF!</definedName>
    <definedName name="NOCOL">#REF!</definedName>
    <definedName name="NOREQ" localSheetId="0">#REF!</definedName>
    <definedName name="NOREQ">#REF!</definedName>
    <definedName name="NOROW" localSheetId="0">#REF!</definedName>
    <definedName name="NOROW">#REF!</definedName>
    <definedName name="NOUSED" localSheetId="0">#REF!</definedName>
    <definedName name="NOUSED">#REF!</definedName>
    <definedName name="P" localSheetId="0">#REF!</definedName>
    <definedName name="P">#REF!</definedName>
    <definedName name="P0" localSheetId="0">#REF!</definedName>
    <definedName name="P0">#REF!</definedName>
    <definedName name="PA" localSheetId="0">#REF!</definedName>
    <definedName name="PA">#REF!</definedName>
    <definedName name="PB" localSheetId="0">#REF!</definedName>
    <definedName name="PB">#REF!</definedName>
    <definedName name="PFLEXX" localSheetId="0">#REF!</definedName>
    <definedName name="PFLEXX">#REF!</definedName>
    <definedName name="PFLEXY" localSheetId="0">#REF!</definedName>
    <definedName name="PFLEXY">#REF!</definedName>
    <definedName name="PG" localSheetId="0">#REF!</definedName>
    <definedName name="PG">#REF!</definedName>
    <definedName name="PILE" localSheetId="0">#REF!</definedName>
    <definedName name="PILE">#REF!</definedName>
    <definedName name="PILE_A" localSheetId="0">#REF!</definedName>
    <definedName name="PILE_A">#REF!</definedName>
    <definedName name="PILE_U" localSheetId="0">#REF!</definedName>
    <definedName name="PILE_U">#REF!</definedName>
    <definedName name="PILEDIA" localSheetId="0">#REF!</definedName>
    <definedName name="PILEDIA">#REF!</definedName>
    <definedName name="PILESPEC" localSheetId="0">#REF!</definedName>
    <definedName name="PILESPEC">#REF!</definedName>
    <definedName name="PPUNCH" localSheetId="0">#REF!</definedName>
    <definedName name="PPUNCH">#REF!</definedName>
    <definedName name="_xlnm.Print_Area" localSheetId="0">'B-1'!$A$1:$K$79</definedName>
    <definedName name="Print_Area_MI" localSheetId="0">'B-1'!$A$1:$K$121</definedName>
    <definedName name="Print_Area_MI">#REF!</definedName>
    <definedName name="_xlnm.Print_Titles" localSheetId="0">'B-1'!$1:$12</definedName>
    <definedName name="PTOTAL" localSheetId="0">#REF!</definedName>
    <definedName name="PTOTAL">#REF!</definedName>
    <definedName name="R_" localSheetId="0">'B-1'!$J$16</definedName>
    <definedName name="R_">#REF!</definedName>
    <definedName name="ROW" localSheetId="0">#REF!</definedName>
    <definedName name="ROW">#REF!</definedName>
    <definedName name="S" localSheetId="0">#REF!</definedName>
    <definedName name="S">#REF!</definedName>
    <definedName name="SAFELOAD" localSheetId="0">#REF!</definedName>
    <definedName name="SAFELOAD">#REF!</definedName>
    <definedName name="SNP" localSheetId="0">#REF!</definedName>
    <definedName name="SNP">#REF!</definedName>
    <definedName name="SPCCOL" localSheetId="0">#REF!</definedName>
    <definedName name="SPCCOL">#REF!</definedName>
    <definedName name="SPCROW" localSheetId="0">#REF!</definedName>
    <definedName name="SPCROW">#REF!</definedName>
    <definedName name="T" localSheetId="0">'B-1'!$J$23</definedName>
    <definedName name="T">#REF!</definedName>
    <definedName name="T_1">#N/A</definedName>
    <definedName name="T1_" localSheetId="0">#REF!</definedName>
    <definedName name="T1_">#REF!</definedName>
    <definedName name="T2_" localSheetId="0">#REF!</definedName>
    <definedName name="T2_">#REF!</definedName>
    <definedName name="TDESIGN" localSheetId="0">#REF!</definedName>
    <definedName name="TDESIGN">#REF!</definedName>
    <definedName name="TDSGN" localSheetId="0">#REF!</definedName>
    <definedName name="TDSGN">#REF!</definedName>
    <definedName name="TITLE_1" localSheetId="0">#REF!</definedName>
    <definedName name="TITLE_1">#REF!</definedName>
    <definedName name="TITLE_X" localSheetId="0">#REF!</definedName>
    <definedName name="TITLE_X">#REF!</definedName>
    <definedName name="TITLE_Y" localSheetId="0">#REF!</definedName>
    <definedName name="TITLE_Y">#REF!</definedName>
    <definedName name="TL" localSheetId="0">#REF!</definedName>
    <definedName name="TL">#REF!</definedName>
    <definedName name="TMIN" localSheetId="0">#REF!</definedName>
    <definedName name="TMIN">#REF!</definedName>
    <definedName name="TREQ" localSheetId="0">#REF!</definedName>
    <definedName name="TREQ">#REF!</definedName>
    <definedName name="UOTH" localSheetId="0">'B-1'!$J$93</definedName>
    <definedName name="UOTH">#REF!</definedName>
    <definedName name="UOTHA" localSheetId="0">'B-1'!$J$94</definedName>
    <definedName name="UOTHA">#REF!</definedName>
    <definedName name="UUP" localSheetId="0">'B-1'!$I$93</definedName>
    <definedName name="UUP">#REF!</definedName>
    <definedName name="UUPA" localSheetId="0">'B-1'!$I$94</definedName>
    <definedName name="UUPA">#REF!</definedName>
    <definedName name="VC">#N/A</definedName>
    <definedName name="VMAX" localSheetId="0">#REF!</definedName>
    <definedName name="VMAX">#REF!</definedName>
    <definedName name="VNEG" localSheetId="0">'B-1'!$I$19</definedName>
    <definedName name="VNEG">#REF!</definedName>
    <definedName name="VPNEG" localSheetId="0">'B-1'!$I$51</definedName>
    <definedName name="VPNEG">#REF!</definedName>
    <definedName name="VPOS" localSheetId="0">'B-1'!$J$19</definedName>
    <definedName name="VPOS">#REF!</definedName>
    <definedName name="VPPOS" localSheetId="0">'B-1'!$J$51</definedName>
    <definedName name="VPPOS">#REF!</definedName>
    <definedName name="X">'[1]รูป 6.5 - ตาราง 6.14-15'!$I$9</definedName>
    <definedName name="XTOTAL" localSheetId="0">#REF!</definedName>
    <definedName name="XTOTAL">#REF!</definedName>
    <definedName name="Y">'[1]รูป 6.5 - ตาราง 6.14-15'!$I$10</definedName>
    <definedName name="YTOTAL" localSheetId="0">#REF!</definedName>
    <definedName name="YTOTAL">#REF!</definedName>
    <definedName name="ZXY">#N/A</definedName>
    <definedName name="α">#N/A</definedName>
  </definedNames>
  <calcPr calcId="124519"/>
</workbook>
</file>

<file path=xl/calcChain.xml><?xml version="1.0" encoding="utf-8"?>
<calcChain xmlns="http://schemas.openxmlformats.org/spreadsheetml/2006/main">
  <c r="K25" i="4"/>
  <c r="O53"/>
  <c r="O52"/>
  <c r="J58"/>
  <c r="I58"/>
  <c r="J45"/>
  <c r="J46"/>
  <c r="O57"/>
  <c r="E88"/>
  <c r="H87" l="1"/>
  <c r="G87"/>
  <c r="F87"/>
  <c r="E87"/>
  <c r="BX38" l="1"/>
  <c r="BX37"/>
  <c r="BW38"/>
  <c r="BW37"/>
  <c r="BV38"/>
  <c r="BV37"/>
  <c r="BU38"/>
  <c r="BU37"/>
  <c r="BX41"/>
  <c r="BX40"/>
  <c r="BW41"/>
  <c r="BW40"/>
  <c r="BV41"/>
  <c r="BV40"/>
  <c r="BU41"/>
  <c r="BU40"/>
  <c r="BX45"/>
  <c r="BX44"/>
  <c r="BU45"/>
  <c r="BU44"/>
  <c r="BW48"/>
  <c r="BW47"/>
  <c r="BV48"/>
  <c r="BV47"/>
  <c r="BU48"/>
  <c r="BU47"/>
  <c r="BX52"/>
  <c r="BX51"/>
  <c r="BV52"/>
  <c r="BV51"/>
  <c r="BT52"/>
  <c r="BT51"/>
  <c r="BX55"/>
  <c r="BX54"/>
  <c r="BV55"/>
  <c r="BV54"/>
  <c r="BT55"/>
  <c r="BT54"/>
  <c r="BX58"/>
  <c r="BX57"/>
  <c r="BW58"/>
  <c r="BW57"/>
  <c r="BU58"/>
  <c r="BU57"/>
  <c r="BT58"/>
  <c r="BT57"/>
  <c r="BX61"/>
  <c r="BX60"/>
  <c r="BT61"/>
  <c r="BT60"/>
  <c r="BR58"/>
  <c r="BR57"/>
  <c r="BQ58"/>
  <c r="BQ57"/>
  <c r="BO58"/>
  <c r="BO57"/>
  <c r="BN58"/>
  <c r="BN57"/>
  <c r="BQ54"/>
  <c r="BQ55"/>
  <c r="BR55"/>
  <c r="BR54"/>
  <c r="BO55"/>
  <c r="BO54"/>
  <c r="BN55"/>
  <c r="BN54"/>
  <c r="BR51"/>
  <c r="BQ51"/>
  <c r="BO51"/>
  <c r="BO52"/>
  <c r="BQ52"/>
  <c r="BR52"/>
  <c r="BN52"/>
  <c r="BN51"/>
  <c r="BR48"/>
  <c r="BQ48"/>
  <c r="BP48"/>
  <c r="BO48"/>
  <c r="BO49"/>
  <c r="BP49"/>
  <c r="BQ49"/>
  <c r="BR49"/>
  <c r="BN49"/>
  <c r="BN48"/>
  <c r="BR44"/>
  <c r="BQ44"/>
  <c r="BP44"/>
  <c r="BO44"/>
  <c r="BO45"/>
  <c r="BP45"/>
  <c r="BQ45"/>
  <c r="BR45"/>
  <c r="BN45"/>
  <c r="BN44"/>
  <c r="BO40"/>
  <c r="BP40"/>
  <c r="BQ40"/>
  <c r="BR40"/>
  <c r="BR39"/>
  <c r="BQ39"/>
  <c r="BP39"/>
  <c r="BO39"/>
  <c r="BN40"/>
  <c r="BN39"/>
  <c r="BM38"/>
  <c r="BM37"/>
  <c r="BL38"/>
  <c r="BL37"/>
  <c r="BK38"/>
  <c r="BK37"/>
  <c r="BJ38"/>
  <c r="BJ37"/>
  <c r="BM41"/>
  <c r="BM40"/>
  <c r="BL41"/>
  <c r="BL40"/>
  <c r="BK41"/>
  <c r="BK40"/>
  <c r="BJ41"/>
  <c r="BJ40"/>
  <c r="BM45"/>
  <c r="BM44"/>
  <c r="BJ45"/>
  <c r="BJ44"/>
  <c r="BL48"/>
  <c r="BL47"/>
  <c r="BK48"/>
  <c r="BK47"/>
  <c r="BJ48"/>
  <c r="BJ47"/>
  <c r="BM52"/>
  <c r="BM51"/>
  <c r="BK52"/>
  <c r="BK51"/>
  <c r="BI52"/>
  <c r="BI51"/>
  <c r="BM55"/>
  <c r="BM54"/>
  <c r="BK55"/>
  <c r="BK54"/>
  <c r="BI55"/>
  <c r="BI54"/>
  <c r="BM58"/>
  <c r="BM57"/>
  <c r="BL58"/>
  <c r="BL57"/>
  <c r="BJ58"/>
  <c r="BJ57"/>
  <c r="BI58"/>
  <c r="BI57"/>
  <c r="BM61"/>
  <c r="BM60"/>
  <c r="BI61"/>
  <c r="BI60"/>
  <c r="BG57"/>
  <c r="BG58"/>
  <c r="BF58"/>
  <c r="BF57"/>
  <c r="BD58"/>
  <c r="BD57"/>
  <c r="BC58"/>
  <c r="BC57"/>
  <c r="BD55"/>
  <c r="BF55"/>
  <c r="BG55"/>
  <c r="BG54"/>
  <c r="BF54"/>
  <c r="BD54"/>
  <c r="BC55"/>
  <c r="BC54"/>
  <c r="BG51"/>
  <c r="BF51"/>
  <c r="BD52"/>
  <c r="BF52"/>
  <c r="BG52"/>
  <c r="BD51"/>
  <c r="BC52"/>
  <c r="BC51"/>
  <c r="BD49"/>
  <c r="BE49"/>
  <c r="BF49"/>
  <c r="BG49"/>
  <c r="BG48"/>
  <c r="BF48"/>
  <c r="BE48"/>
  <c r="BD48"/>
  <c r="BC49"/>
  <c r="BC48"/>
  <c r="BG44"/>
  <c r="BF44"/>
  <c r="BE44"/>
  <c r="BD44"/>
  <c r="BD45"/>
  <c r="BE45"/>
  <c r="BF45"/>
  <c r="BG45"/>
  <c r="BC45"/>
  <c r="BC44"/>
  <c r="BD40"/>
  <c r="BE40"/>
  <c r="BF40"/>
  <c r="BG40"/>
  <c r="BG39"/>
  <c r="BF39"/>
  <c r="BE39"/>
  <c r="BD39"/>
  <c r="BC40"/>
  <c r="BC39"/>
  <c r="BR31"/>
  <c r="BG31"/>
  <c r="J47"/>
  <c r="J39"/>
  <c r="J38"/>
  <c r="J40" s="1"/>
  <c r="I48"/>
  <c r="J12"/>
  <c r="J13" s="1"/>
  <c r="J11"/>
  <c r="J7"/>
  <c r="J34"/>
  <c r="I41"/>
  <c r="D41"/>
  <c r="D48"/>
  <c r="I47" l="1"/>
  <c r="K47" s="1"/>
  <c r="I34"/>
  <c r="J14"/>
  <c r="J15" s="1"/>
  <c r="I40"/>
  <c r="K40" s="1"/>
  <c r="J48"/>
  <c r="K48" s="1"/>
  <c r="J41"/>
  <c r="K41" s="1"/>
  <c r="AY57"/>
  <c r="AY58"/>
  <c r="AH54"/>
  <c r="AN61"/>
  <c r="AJ61"/>
  <c r="AE55"/>
  <c r="E25"/>
  <c r="I4"/>
  <c r="AY61"/>
  <c r="AY60"/>
  <c r="AU61"/>
  <c r="AU60"/>
  <c r="AX58"/>
  <c r="AX57"/>
  <c r="AV58"/>
  <c r="AV57"/>
  <c r="AU58"/>
  <c r="AU57"/>
  <c r="AW55"/>
  <c r="AW54"/>
  <c r="AU55"/>
  <c r="AU54"/>
  <c r="AY55"/>
  <c r="AY54"/>
  <c r="AY52"/>
  <c r="AY51"/>
  <c r="AW51"/>
  <c r="AW52"/>
  <c r="AU52"/>
  <c r="AU51"/>
  <c r="AX47"/>
  <c r="AW47"/>
  <c r="AW48"/>
  <c r="AX48"/>
  <c r="AV48"/>
  <c r="AV47"/>
  <c r="AY45"/>
  <c r="AY44"/>
  <c r="AV45"/>
  <c r="AV44"/>
  <c r="AY40"/>
  <c r="AX40"/>
  <c r="AW40"/>
  <c r="AW41"/>
  <c r="AX41"/>
  <c r="AY41"/>
  <c r="AV41"/>
  <c r="AV40"/>
  <c r="AX37"/>
  <c r="AY37"/>
  <c r="AY38"/>
  <c r="AX38"/>
  <c r="AW38"/>
  <c r="AW37"/>
  <c r="AV38"/>
  <c r="AV37"/>
  <c r="AS57"/>
  <c r="AS58"/>
  <c r="AR58"/>
  <c r="AR57"/>
  <c r="AP57"/>
  <c r="AP58"/>
  <c r="AO58"/>
  <c r="AO57"/>
  <c r="AS54"/>
  <c r="AR54"/>
  <c r="AP55"/>
  <c r="AR55"/>
  <c r="AS55"/>
  <c r="AP54"/>
  <c r="AO55"/>
  <c r="AO54"/>
  <c r="AS51"/>
  <c r="AR51"/>
  <c r="AP51"/>
  <c r="AP52"/>
  <c r="AR52"/>
  <c r="AS52"/>
  <c r="AO52"/>
  <c r="AO51"/>
  <c r="AP49"/>
  <c r="AQ49"/>
  <c r="AR49"/>
  <c r="AS49"/>
  <c r="AS48"/>
  <c r="AR48"/>
  <c r="AQ48"/>
  <c r="AP48"/>
  <c r="AO49"/>
  <c r="AO48"/>
  <c r="AS44"/>
  <c r="AR44"/>
  <c r="AQ44"/>
  <c r="AP44"/>
  <c r="AP45"/>
  <c r="AQ45"/>
  <c r="AR45"/>
  <c r="AS45"/>
  <c r="AO45"/>
  <c r="AO44"/>
  <c r="AP40"/>
  <c r="AQ40"/>
  <c r="AR40"/>
  <c r="AS40"/>
  <c r="AO40"/>
  <c r="AS39"/>
  <c r="AR39"/>
  <c r="AQ39"/>
  <c r="AP39"/>
  <c r="AO39"/>
  <c r="AN60"/>
  <c r="AJ60"/>
  <c r="AN58"/>
  <c r="AN57"/>
  <c r="AM58"/>
  <c r="AM57"/>
  <c r="AK58"/>
  <c r="AK57"/>
  <c r="AJ58"/>
  <c r="AJ57"/>
  <c r="AN55"/>
  <c r="AN54"/>
  <c r="AL55"/>
  <c r="AL54"/>
  <c r="AJ55"/>
  <c r="AJ54"/>
  <c r="AN51"/>
  <c r="AL51"/>
  <c r="AN52"/>
  <c r="AL52"/>
  <c r="AJ52"/>
  <c r="AJ51"/>
  <c r="AM48"/>
  <c r="AM47"/>
  <c r="AL48"/>
  <c r="AL47"/>
  <c r="AK48"/>
  <c r="AK47"/>
  <c r="AN45"/>
  <c r="AN44"/>
  <c r="AK45"/>
  <c r="AK44"/>
  <c r="AH58"/>
  <c r="AH57"/>
  <c r="AG58"/>
  <c r="AG57"/>
  <c r="AE58"/>
  <c r="AE57"/>
  <c r="AD58"/>
  <c r="AD57"/>
  <c r="AG54"/>
  <c r="AH55"/>
  <c r="AG55"/>
  <c r="AE54"/>
  <c r="AD55"/>
  <c r="AD54"/>
  <c r="AH51"/>
  <c r="AG51"/>
  <c r="AH52"/>
  <c r="AG52"/>
  <c r="AE52"/>
  <c r="AE51"/>
  <c r="AD52"/>
  <c r="AD51"/>
  <c r="AE49"/>
  <c r="AF49"/>
  <c r="AG49"/>
  <c r="AH49"/>
  <c r="AH48"/>
  <c r="AG48"/>
  <c r="AF48"/>
  <c r="AE48"/>
  <c r="AD49"/>
  <c r="AD48"/>
  <c r="AE45"/>
  <c r="AF45"/>
  <c r="AG45"/>
  <c r="AH45"/>
  <c r="AH44"/>
  <c r="AG44"/>
  <c r="AF44"/>
  <c r="AE44"/>
  <c r="AD45"/>
  <c r="AD44"/>
  <c r="AN41"/>
  <c r="AN40"/>
  <c r="AM41"/>
  <c r="AM40"/>
  <c r="AL40"/>
  <c r="AL41"/>
  <c r="AK41"/>
  <c r="AK40"/>
  <c r="AN38"/>
  <c r="AN37"/>
  <c r="AM38"/>
  <c r="AM37"/>
  <c r="AL38"/>
  <c r="AL37"/>
  <c r="AK38"/>
  <c r="AK37"/>
  <c r="AE40"/>
  <c r="AF40"/>
  <c r="AG40"/>
  <c r="AH40"/>
  <c r="AD40"/>
  <c r="AH39"/>
  <c r="AG39"/>
  <c r="AF39"/>
  <c r="AE39"/>
  <c r="AD39"/>
  <c r="AS31"/>
  <c r="AH31"/>
  <c r="J96"/>
  <c r="I96"/>
  <c r="J91"/>
  <c r="I91"/>
  <c r="J51"/>
  <c r="P52" s="1"/>
  <c r="E24"/>
  <c r="E23"/>
  <c r="E22"/>
  <c r="J56"/>
  <c r="P53" l="1"/>
  <c r="J16"/>
  <c r="J50"/>
  <c r="O54"/>
  <c r="D56"/>
  <c r="I56"/>
  <c r="I57" s="1"/>
  <c r="I59" s="1"/>
  <c r="J93"/>
  <c r="J94" s="1"/>
  <c r="F56"/>
  <c r="I93"/>
  <c r="I94" s="1"/>
  <c r="P54" l="1"/>
  <c r="O55" s="1"/>
  <c r="J54" s="1"/>
  <c r="O56"/>
  <c r="J53" s="1"/>
  <c r="I95"/>
  <c r="I97" s="1"/>
  <c r="J95"/>
  <c r="J97" s="1"/>
  <c r="J57"/>
  <c r="J59" s="1"/>
  <c r="J35" l="1"/>
  <c r="I43" l="1"/>
  <c r="I45" s="1"/>
  <c r="I36"/>
  <c r="I38" s="1"/>
  <c r="D38" l="1"/>
  <c r="I39"/>
  <c r="K39" s="1"/>
  <c r="D39"/>
  <c r="D46"/>
  <c r="I46"/>
  <c r="K46" s="1"/>
  <c r="D45"/>
  <c r="D47" l="1"/>
  <c r="K45"/>
  <c r="D40"/>
  <c r="K38"/>
</calcChain>
</file>

<file path=xl/sharedStrings.xml><?xml version="1.0" encoding="utf-8"?>
<sst xmlns="http://schemas.openxmlformats.org/spreadsheetml/2006/main" count="307" uniqueCount="134">
  <si>
    <t>:</t>
  </si>
  <si>
    <t>ksc</t>
  </si>
  <si>
    <t xml:space="preserve"> n</t>
  </si>
  <si>
    <t>=</t>
  </si>
  <si>
    <t xml:space="preserve"> k</t>
  </si>
  <si>
    <t xml:space="preserve"> j</t>
  </si>
  <si>
    <t xml:space="preserve"> R</t>
  </si>
  <si>
    <t>kg-m</t>
  </si>
  <si>
    <t>kg</t>
  </si>
  <si>
    <t xml:space="preserve"> b</t>
  </si>
  <si>
    <t>m</t>
  </si>
  <si>
    <t xml:space="preserve"> D</t>
  </si>
  <si>
    <t xml:space="preserve"> Status</t>
  </si>
  <si>
    <t xml:space="preserve"> H.</t>
  </si>
  <si>
    <t xml:space="preserve"> BONDING</t>
  </si>
  <si>
    <t xml:space="preserve"> Location of bar</t>
  </si>
  <si>
    <t>Upper</t>
  </si>
  <si>
    <t>Others</t>
  </si>
  <si>
    <t xml:space="preserve"> Bonding stress, u </t>
  </si>
  <si>
    <t xml:space="preserve"> Permissible bonding stress, u </t>
  </si>
  <si>
    <t xml:space="preserve"> Required perimeter</t>
  </si>
  <si>
    <t>cm</t>
  </si>
  <si>
    <t xml:space="preserve"> Provided perimeter</t>
  </si>
  <si>
    <t>As'</t>
  </si>
  <si>
    <t>As</t>
  </si>
  <si>
    <t xml:space="preserve"> fc/2·j·k</t>
  </si>
  <si>
    <t>เหล็กชั้นคุณภาพ</t>
  </si>
  <si>
    <t>วัสดุ และกลสมบัติ</t>
  </si>
  <si>
    <t>หน่วยแรงใช้งานของเหล็กเสริม, fs</t>
  </si>
  <si>
    <t>Asmin</t>
  </si>
  <si>
    <t>แรงเฉือนและเหล็กปลอก</t>
  </si>
  <si>
    <t>กำลังอัดประลัยของคอนกรีต, fc'</t>
  </si>
  <si>
    <t>หน่วยแรงใช้งานของคอนกรีต, fc</t>
  </si>
  <si>
    <t>โมดูลัสยืดหยุ่นของคอนกรีต Ec = 15,210·fc'^0.5</t>
  </si>
  <si>
    <t>แรงเฉือนและโมเมนต์ดัด</t>
  </si>
  <si>
    <t>กรณี</t>
  </si>
  <si>
    <t>ปลายไม่ต่อเนื่องสองด้าน</t>
  </si>
  <si>
    <t>ปลายต่อเนื่องด้านเดียว</t>
  </si>
  <si>
    <t>ปลายต่อเนื่องสองด้าน</t>
  </si>
  <si>
    <t>คานยื่น</t>
  </si>
  <si>
    <t>ความลึกต่ำสุด</t>
  </si>
  <si>
    <t>เหล็กเสริม (ตารางเซนติเมตร)</t>
  </si>
  <si>
    <t>คำนวณ</t>
  </si>
  <si>
    <t>เสริมจริง</t>
  </si>
  <si>
    <t>จำนวนเส้น</t>
  </si>
  <si>
    <t>เส้นผ่านศูนย์กลาง (มิลลิเมตร)</t>
  </si>
  <si>
    <t>ความยาวช่วงคาน</t>
  </si>
  <si>
    <t>fv</t>
  </si>
  <si>
    <t>V - Vc</t>
  </si>
  <si>
    <t>การใช้เหล็กลูกตั้ง</t>
  </si>
  <si>
    <t>V - 0.29·[f'c]^0.5·(b·d)</t>
  </si>
  <si>
    <t xml:space="preserve"> R·b·d²</t>
  </si>
  <si>
    <t xml:space="preserve"> &gt;= 8·b if L/b &gt; 30</t>
  </si>
  <si>
    <t>รับแรงอัด</t>
  </si>
  <si>
    <t>รับแรงดึง</t>
  </si>
  <si>
    <t>1/[1+fs/(n·fc)]</t>
  </si>
  <si>
    <t>1 - k/3</t>
  </si>
  <si>
    <t>ต้องการ</t>
  </si>
  <si>
    <t>แรงยึดหน่วง</t>
  </si>
  <si>
    <t>เหล็กบน</t>
  </si>
  <si>
    <t>เหล็กอื่นๆ</t>
  </si>
  <si>
    <t>d-d', d</t>
  </si>
  <si>
    <t>เลือกกรณี</t>
  </si>
  <si>
    <t>beam</t>
  </si>
  <si>
    <t>dimension Y</t>
  </si>
  <si>
    <t>dimensionx</t>
  </si>
  <si>
    <t>x</t>
  </si>
  <si>
    <t>y</t>
  </si>
  <si>
    <t>strirup</t>
  </si>
  <si>
    <t>steel No.5</t>
  </si>
  <si>
    <t>steel No.14</t>
  </si>
  <si>
    <t>L</t>
  </si>
  <si>
    <t>mid</t>
  </si>
  <si>
    <t>r</t>
  </si>
  <si>
    <t>steel No.11</t>
  </si>
  <si>
    <t>steel No.10</t>
  </si>
  <si>
    <t>steel No.2</t>
  </si>
  <si>
    <t>steel No.15</t>
  </si>
  <si>
    <t>steel No.13</t>
  </si>
  <si>
    <t>steel No.4</t>
  </si>
  <si>
    <t>steel No3</t>
  </si>
  <si>
    <t>steel No.8</t>
  </si>
  <si>
    <t>steel No.6</t>
  </si>
  <si>
    <t>steel No.12</t>
  </si>
  <si>
    <t>steel No.9</t>
  </si>
  <si>
    <t>steel No.7</t>
  </si>
  <si>
    <t>รายการคำนวณออกแบบคาน ค.ส.ล. โดยวิธีหน่วยแรงใช้งาน</t>
  </si>
  <si>
    <t>โมดูลัสยืดหยุ่นของเหล็กเสริม , Es</t>
  </si>
  <si>
    <t>เจ้าของงาน</t>
  </si>
  <si>
    <t>สถานที่ก่อสร้าง</t>
  </si>
  <si>
    <t>วัน / เดือน / ปี</t>
  </si>
  <si>
    <t>1)</t>
  </si>
  <si>
    <t>2)</t>
  </si>
  <si>
    <t>3)</t>
  </si>
  <si>
    <t>4)</t>
  </si>
  <si>
    <t>5)</t>
  </si>
  <si>
    <t>Mr</t>
  </si>
  <si>
    <t>RB</t>
  </si>
  <si>
    <t>เส้น</t>
  </si>
  <si>
    <t>mm.</t>
  </si>
  <si>
    <t>Middle span</t>
  </si>
  <si>
    <t>Support span</t>
  </si>
  <si>
    <t>การเสริมเหล็ก Middle Span</t>
  </si>
  <si>
    <t>การเสริมเหล็ก Support Span</t>
  </si>
  <si>
    <t>Middle</t>
  </si>
  <si>
    <t>Support</t>
  </si>
  <si>
    <t>โมเมนต์ดัดสูงสุด</t>
  </si>
  <si>
    <t>แรงเฉือนสูงสุด</t>
  </si>
  <si>
    <t>โมเมนต์ดัดและเหล็กเสริม</t>
  </si>
  <si>
    <t>เส้นผ่านศูนย์กลางเหล็กปลอก (มิลลิเมตร)</t>
  </si>
  <si>
    <t xml:space="preserve">middle </t>
  </si>
  <si>
    <t>support</t>
  </si>
  <si>
    <r>
      <t xml:space="preserve">v </t>
    </r>
    <r>
      <rPr>
        <b/>
        <u/>
        <sz val="11"/>
        <rFont val="AngsanaUPC"/>
        <family val="1"/>
      </rPr>
      <t>&lt;</t>
    </r>
    <r>
      <rPr>
        <b/>
        <sz val="11"/>
        <rFont val="AngsanaUPC"/>
        <family val="1"/>
      </rPr>
      <t xml:space="preserve"> 1.32·fc'^0.5</t>
    </r>
  </si>
  <si>
    <t>โครงการก่อสร้าง :</t>
  </si>
  <si>
    <t>m.</t>
  </si>
  <si>
    <t>ksc.</t>
  </si>
  <si>
    <t xml:space="preserve"> 0.50·fy</t>
  </si>
  <si>
    <t>ระยะเรียงสูงสุดที่ยอมให้ =</t>
  </si>
  <si>
    <t>ความลึกหน้าตัดคาน (เมื่อไม่พิจารณาการแอ่น หรือโก่งตัว)</t>
  </si>
  <si>
    <t>ตัวคูณลด</t>
  </si>
  <si>
    <t>Es/E</t>
  </si>
  <si>
    <t>คาน หมายเลข    :</t>
  </si>
  <si>
    <t>วิศวกรโครงสร้าง:</t>
  </si>
  <si>
    <t>ระยะหุ้มคอนกรีต</t>
  </si>
  <si>
    <t>cm.</t>
  </si>
  <si>
    <t>2) Mr = Rb·R·b·d^2 when L/b &gt; 30,</t>
  </si>
  <si>
    <t>3) ปริมาณเหล็กเสริมต่ำสุด: Asmin = 14/fy·b·d เว้นแต่จะเสริมเหล็กไม่น้อยกว่า 1.34 เท่าของค่าที่คำนวณได้ (1.34As)</t>
  </si>
  <si>
    <t>4) ปริมาณเหล็กเสริมต่ำสุดในแนวราบ สำหรับคานลึก (As-min-hz = 0.0025·b·D I หาก D/L &gt; 2/5 หรือ 4/5</t>
  </si>
  <si>
    <t>1) สำหรับคานแคบ ความลึกประสิทธิผลต้องไม่เกิน 8 เท่าของความกว้าง (8·b),</t>
  </si>
  <si>
    <t>หมายเหตุ:</t>
  </si>
  <si>
    <t>SD 30</t>
  </si>
  <si>
    <t>หน้าตัด</t>
  </si>
  <si>
    <t>พัฒนาโดย นายสงกรานต์  ปัญญามูล</t>
  </si>
  <si>
    <t>สย.9095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</si>
</sst>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0.00_)"/>
    <numFmt numFmtId="188" formatCode="0.000_)"/>
    <numFmt numFmtId="189" formatCode="#,##0.000_);\(#,##0.000\)"/>
    <numFmt numFmtId="190" formatCode="0_)"/>
    <numFmt numFmtId="191" formatCode="0.000"/>
  </numFmts>
  <fonts count="46">
    <font>
      <sz val="9"/>
      <name val="Tms Rmn"/>
      <charset val="222"/>
    </font>
    <font>
      <sz val="10"/>
      <name val="Arial Narrow"/>
      <family val="2"/>
      <charset val="222"/>
    </font>
    <font>
      <sz val="10"/>
      <name val="Tms Rmn"/>
      <charset val="222"/>
    </font>
    <font>
      <sz val="8"/>
      <name val="Arial Narrow"/>
      <family val="2"/>
      <charset val="222"/>
    </font>
    <font>
      <sz val="8"/>
      <color indexed="10"/>
      <name val="Arial Narrow"/>
      <family val="2"/>
      <charset val="222"/>
    </font>
    <font>
      <sz val="11"/>
      <color rgb="FFFF0000"/>
      <name val="Tahoma"/>
      <family val="2"/>
      <scheme val="minor"/>
    </font>
    <font>
      <sz val="9"/>
      <name val="Tahoma"/>
      <family val="2"/>
      <scheme val="major"/>
    </font>
    <font>
      <b/>
      <sz val="12"/>
      <color theme="3" tint="-0.499984740745262"/>
      <name val="EucrosiaUPC"/>
      <family val="1"/>
    </font>
    <font>
      <sz val="9"/>
      <name val="AngsanaUPC"/>
      <family val="1"/>
    </font>
    <font>
      <sz val="10"/>
      <name val="AngsanaUPC"/>
      <family val="1"/>
    </font>
    <font>
      <sz val="9"/>
      <color indexed="53"/>
      <name val="AngsanaUPC"/>
      <family val="1"/>
    </font>
    <font>
      <sz val="10"/>
      <color indexed="10"/>
      <name val="AngsanaUPC"/>
      <family val="1"/>
    </font>
    <font>
      <sz val="9"/>
      <color rgb="FFC00000"/>
      <name val="Tahoma"/>
      <family val="2"/>
      <scheme val="minor"/>
    </font>
    <font>
      <u/>
      <sz val="8"/>
      <name val="Arial Narrow"/>
      <family val="2"/>
      <charset val="222"/>
    </font>
    <font>
      <sz val="11"/>
      <color theme="1"/>
      <name val="Tahoma"/>
      <family val="2"/>
      <scheme val="minor"/>
    </font>
    <font>
      <shadow/>
      <sz val="11"/>
      <color rgb="FF000000"/>
      <name val="Tahoma"/>
      <family val="2"/>
    </font>
    <font>
      <sz val="11"/>
      <color rgb="FF000000"/>
      <name val="Calibri"/>
      <family val="2"/>
    </font>
    <font>
      <sz val="11"/>
      <name val="AngsanaUPC"/>
      <family val="1"/>
    </font>
    <font>
      <b/>
      <sz val="11"/>
      <name val="AngsanaUPC"/>
      <family val="1"/>
    </font>
    <font>
      <b/>
      <sz val="11"/>
      <color theme="1"/>
      <name val="AngsanaUPC"/>
      <family val="1"/>
    </font>
    <font>
      <sz val="11"/>
      <name val="Tms Rmn"/>
      <charset val="222"/>
    </font>
    <font>
      <sz val="11"/>
      <color indexed="12"/>
      <name val="AngsanaUPC"/>
      <family val="1"/>
    </font>
    <font>
      <sz val="11"/>
      <name val="Arial Narrow"/>
      <family val="2"/>
      <charset val="222"/>
    </font>
    <font>
      <sz val="11"/>
      <color indexed="17"/>
      <name val="AngsanaUPC"/>
      <family val="1"/>
    </font>
    <font>
      <b/>
      <u/>
      <sz val="11"/>
      <name val="AngsanaUPC"/>
      <family val="1"/>
    </font>
    <font>
      <sz val="11"/>
      <color indexed="10"/>
      <name val="AngsanaUPC"/>
      <family val="1"/>
    </font>
    <font>
      <sz val="11"/>
      <color rgb="FF0070C0"/>
      <name val="AngsanaUPC"/>
      <family val="1"/>
    </font>
    <font>
      <sz val="11"/>
      <color rgb="FFFF0000"/>
      <name val="AngsanaUPC"/>
      <family val="1"/>
    </font>
    <font>
      <sz val="11"/>
      <color rgb="FF00B050"/>
      <name val="AngsanaUPC"/>
      <family val="1"/>
    </font>
    <font>
      <u/>
      <sz val="11"/>
      <name val="AngsanaUPC"/>
      <family val="1"/>
    </font>
    <font>
      <b/>
      <sz val="11"/>
      <name val="Tms Rmn"/>
      <charset val="222"/>
    </font>
    <font>
      <b/>
      <sz val="11"/>
      <color theme="4"/>
      <name val="AngsanaUPC"/>
      <family val="1"/>
    </font>
    <font>
      <b/>
      <i/>
      <sz val="11"/>
      <color indexed="10"/>
      <name val="AngsanaUPC"/>
      <family val="1"/>
    </font>
    <font>
      <b/>
      <i/>
      <sz val="11"/>
      <name val="AngsanaUPC"/>
      <family val="1"/>
    </font>
    <font>
      <b/>
      <sz val="11"/>
      <color indexed="17"/>
      <name val="AngsanaUPC"/>
      <family val="1"/>
    </font>
    <font>
      <sz val="9"/>
      <name val="Tms Rmn"/>
      <charset val="222"/>
    </font>
    <font>
      <sz val="14"/>
      <name val="Angsana New"/>
      <family val="1"/>
    </font>
    <font>
      <sz val="9"/>
      <color theme="0"/>
      <name val="Tms Rmn"/>
      <charset val="222"/>
    </font>
    <font>
      <sz val="9"/>
      <color theme="0"/>
      <name val="Times New Roman"/>
      <family val="1"/>
    </font>
    <font>
      <sz val="9"/>
      <color theme="0"/>
      <name val="AngsanaUPC"/>
      <family val="1"/>
    </font>
    <font>
      <sz val="10"/>
      <color theme="0"/>
      <name val="Arial Narrow"/>
      <family val="2"/>
      <charset val="222"/>
    </font>
    <font>
      <sz val="8"/>
      <color rgb="FF000000"/>
      <name val="Calibri"/>
      <family val="2"/>
    </font>
    <font>
      <b/>
      <sz val="12"/>
      <color rgb="FFFFFF00"/>
      <name val="EucrosiaUPC"/>
      <family val="1"/>
    </font>
    <font>
      <sz val="10"/>
      <color rgb="FF92D050"/>
      <name val="AngsanaUPC"/>
      <family val="1"/>
    </font>
    <font>
      <sz val="11"/>
      <color theme="0"/>
      <name val="AngsanaUPC"/>
      <family val="1"/>
    </font>
    <font>
      <sz val="8"/>
      <color theme="0"/>
      <name val="Tms Rmn"/>
      <charset val="22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auto="1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4"/>
      </bottom>
      <diagonal/>
    </border>
    <border>
      <left style="thin">
        <color theme="4"/>
      </left>
      <right/>
      <top style="thin">
        <color auto="1"/>
      </top>
      <bottom style="thin">
        <color auto="1"/>
      </bottom>
      <diagonal/>
    </border>
    <border>
      <left/>
      <right style="thin">
        <color theme="4"/>
      </right>
      <top style="thin">
        <color indexed="64"/>
      </top>
      <bottom style="thin">
        <color theme="4"/>
      </bottom>
      <diagonal/>
    </border>
    <border>
      <left/>
      <right style="hair">
        <color indexed="64"/>
      </right>
      <top style="thin">
        <color indexed="64"/>
      </top>
      <bottom style="thin">
        <color theme="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4"/>
      </bottom>
      <diagonal/>
    </border>
    <border>
      <left/>
      <right style="thin">
        <color theme="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5" fillId="0" borderId="0" applyFont="0" applyFill="0" applyBorder="0" applyAlignment="0" applyProtection="0"/>
  </cellStyleXfs>
  <cellXfs count="251">
    <xf numFmtId="0" fontId="0" fillId="0" borderId="0" xfId="0"/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187" fontId="21" fillId="0" borderId="2" xfId="0" applyNumberFormat="1" applyFont="1" applyFill="1" applyBorder="1" applyAlignment="1" applyProtection="1">
      <alignment horizontal="center" vertical="center"/>
      <protection locked="0"/>
    </xf>
    <xf numFmtId="187" fontId="17" fillId="0" borderId="23" xfId="0" applyNumberFormat="1" applyFont="1" applyFill="1" applyBorder="1" applyAlignment="1" applyProtection="1">
      <alignment horizontal="center" vertical="center"/>
    </xf>
    <xf numFmtId="188" fontId="17" fillId="0" borderId="23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8" fillId="0" borderId="16" xfId="0" applyFont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right" vertical="center"/>
    </xf>
    <xf numFmtId="0" fontId="18" fillId="0" borderId="6" xfId="0" applyFont="1" applyFill="1" applyBorder="1" applyAlignment="1">
      <alignment vertical="center"/>
    </xf>
    <xf numFmtId="0" fontId="18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>
      <alignment horizontal="centerContinuous" vertical="center"/>
    </xf>
    <xf numFmtId="0" fontId="0" fillId="0" borderId="0" xfId="0" applyFill="1" applyAlignment="1">
      <alignment vertical="center"/>
    </xf>
    <xf numFmtId="0" fontId="18" fillId="0" borderId="29" xfId="0" applyFont="1" applyBorder="1" applyAlignment="1" applyProtection="1">
      <alignment horizontal="left" vertical="center"/>
    </xf>
    <xf numFmtId="0" fontId="18" fillId="0" borderId="27" xfId="0" applyFont="1" applyFill="1" applyBorder="1" applyAlignment="1" applyProtection="1">
      <alignment horizontal="center" vertical="center"/>
    </xf>
    <xf numFmtId="0" fontId="18" fillId="0" borderId="27" xfId="0" applyFont="1" applyFill="1" applyBorder="1" applyAlignment="1">
      <alignment vertical="center"/>
    </xf>
    <xf numFmtId="0" fontId="18" fillId="0" borderId="27" xfId="0" applyFont="1" applyFill="1" applyBorder="1" applyAlignment="1" applyProtection="1">
      <alignment vertical="center"/>
      <protection locked="0"/>
    </xf>
    <xf numFmtId="0" fontId="20" fillId="0" borderId="0" xfId="0" applyFont="1" applyBorder="1" applyAlignment="1">
      <alignment vertical="center"/>
    </xf>
    <xf numFmtId="0" fontId="18" fillId="0" borderId="18" xfId="0" applyFont="1" applyBorder="1" applyAlignment="1" applyProtection="1">
      <alignment vertical="center"/>
    </xf>
    <xf numFmtId="0" fontId="18" fillId="0" borderId="19" xfId="0" applyFont="1" applyFill="1" applyBorder="1" applyAlignment="1" applyProtection="1">
      <alignment horizontal="center" vertical="center"/>
    </xf>
    <xf numFmtId="0" fontId="18" fillId="0" borderId="19" xfId="0" applyFont="1" applyFill="1" applyBorder="1" applyAlignment="1">
      <alignment vertical="center"/>
    </xf>
    <xf numFmtId="0" fontId="17" fillId="0" borderId="16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7" fillId="0" borderId="16" xfId="0" applyFont="1" applyBorder="1" applyAlignment="1">
      <alignment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>
      <alignment vertical="center"/>
    </xf>
    <xf numFmtId="0" fontId="34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37" fontId="17" fillId="0" borderId="23" xfId="0" applyNumberFormat="1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37" fontId="17" fillId="0" borderId="0" xfId="0" applyNumberFormat="1" applyFont="1" applyFill="1" applyBorder="1" applyAlignment="1" applyProtection="1">
      <alignment vertical="center"/>
    </xf>
    <xf numFmtId="37" fontId="17" fillId="0" borderId="26" xfId="0" applyNumberFormat="1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187" fontId="8" fillId="0" borderId="0" xfId="0" applyNumberFormat="1" applyFont="1" applyAlignment="1" applyProtection="1">
      <alignment vertical="center"/>
    </xf>
    <xf numFmtId="0" fontId="24" fillId="0" borderId="0" xfId="0" applyFont="1" applyBorder="1" applyAlignment="1">
      <alignment horizontal="centerContinuous" vertical="center"/>
    </xf>
    <xf numFmtId="0" fontId="17" fillId="0" borderId="0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18" fillId="0" borderId="16" xfId="0" applyFont="1" applyBorder="1" applyAlignment="1">
      <alignment vertical="center"/>
    </xf>
    <xf numFmtId="37" fontId="21" fillId="0" borderId="23" xfId="0" applyNumberFormat="1" applyFont="1" applyFill="1" applyBorder="1" applyAlignment="1" applyProtection="1">
      <alignment horizontal="center" vertical="center"/>
      <protection locked="0"/>
    </xf>
    <xf numFmtId="37" fontId="21" fillId="0" borderId="2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189" fontId="17" fillId="0" borderId="0" xfId="0" applyNumberFormat="1" applyFont="1" applyBorder="1" applyAlignment="1" applyProtection="1">
      <alignment vertical="center"/>
    </xf>
    <xf numFmtId="0" fontId="17" fillId="0" borderId="1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23" xfId="0" applyFont="1" applyFill="1" applyBorder="1" applyAlignment="1">
      <alignment vertical="center"/>
    </xf>
    <xf numFmtId="0" fontId="18" fillId="0" borderId="23" xfId="0" applyFont="1" applyFill="1" applyBorder="1" applyAlignment="1" applyProtection="1">
      <alignment horizontal="right" vertical="center"/>
    </xf>
    <xf numFmtId="0" fontId="18" fillId="0" borderId="23" xfId="0" applyFont="1" applyFill="1" applyBorder="1" applyAlignment="1" applyProtection="1">
      <alignment horizontal="center" vertical="center"/>
    </xf>
    <xf numFmtId="0" fontId="18" fillId="0" borderId="23" xfId="0" applyFont="1" applyFill="1" applyBorder="1" applyAlignment="1" applyProtection="1">
      <alignment horizontal="left" vertical="center"/>
    </xf>
    <xf numFmtId="187" fontId="18" fillId="0" borderId="23" xfId="0" applyNumberFormat="1" applyFont="1" applyFill="1" applyBorder="1" applyAlignment="1" applyProtection="1">
      <alignment horizontal="center" vertical="center"/>
    </xf>
    <xf numFmtId="189" fontId="17" fillId="0" borderId="0" xfId="0" applyNumberFormat="1" applyFont="1" applyFill="1" applyBorder="1" applyAlignment="1" applyProtection="1">
      <alignment vertical="center"/>
    </xf>
    <xf numFmtId="0" fontId="18" fillId="0" borderId="24" xfId="0" applyFont="1" applyFill="1" applyBorder="1" applyAlignment="1" applyProtection="1">
      <alignment horizontal="left" vertical="center"/>
    </xf>
    <xf numFmtId="0" fontId="18" fillId="0" borderId="25" xfId="0" applyFont="1" applyFill="1" applyBorder="1" applyAlignment="1">
      <alignment vertical="center"/>
    </xf>
    <xf numFmtId="0" fontId="17" fillId="0" borderId="0" xfId="0" applyFont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</xf>
    <xf numFmtId="188" fontId="21" fillId="0" borderId="2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7" fillId="0" borderId="17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188" fontId="25" fillId="0" borderId="0" xfId="0" applyNumberFormat="1" applyFont="1" applyFill="1" applyBorder="1" applyAlignment="1" applyProtection="1">
      <alignment horizontal="center" vertical="center"/>
      <protection locked="0"/>
    </xf>
    <xf numFmtId="188" fontId="26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33" fillId="0" borderId="0" xfId="0" applyFont="1" applyBorder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7" fillId="0" borderId="16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23" fillId="0" borderId="17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8" fillId="0" borderId="17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vertical="center"/>
    </xf>
    <xf numFmtId="0" fontId="33" fillId="0" borderId="0" xfId="0" applyFont="1" applyBorder="1" applyAlignment="1">
      <alignment vertical="center"/>
    </xf>
    <xf numFmtId="190" fontId="10" fillId="0" borderId="0" xfId="0" applyNumberFormat="1" applyFont="1" applyAlignment="1" applyProtection="1">
      <alignment horizontal="left" vertical="center"/>
    </xf>
    <xf numFmtId="0" fontId="20" fillId="0" borderId="16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5" fillId="0" borderId="0" xfId="0" applyFont="1" applyFill="1" applyBorder="1" applyAlignment="1" applyProtection="1">
      <alignment vertical="center"/>
    </xf>
    <xf numFmtId="0" fontId="0" fillId="0" borderId="17" xfId="0" applyBorder="1" applyAlignment="1">
      <alignment horizontal="center" vertical="center"/>
    </xf>
    <xf numFmtId="191" fontId="0" fillId="0" borderId="0" xfId="0" applyNumberFormat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29" fillId="0" borderId="0" xfId="0" applyFont="1" applyBorder="1" applyAlignment="1" applyProtection="1">
      <alignment horizontal="left" vertical="center"/>
    </xf>
    <xf numFmtId="188" fontId="17" fillId="0" borderId="0" xfId="0" applyNumberFormat="1" applyFont="1" applyFill="1" applyBorder="1" applyAlignment="1" applyProtection="1">
      <alignment horizontal="center" vertical="center"/>
    </xf>
    <xf numFmtId="188" fontId="17" fillId="0" borderId="17" xfId="0" applyNumberFormat="1" applyFont="1" applyFill="1" applyBorder="1" applyAlignment="1" applyProtection="1">
      <alignment vertical="center"/>
    </xf>
    <xf numFmtId="188" fontId="17" fillId="0" borderId="0" xfId="0" applyNumberFormat="1" applyFont="1" applyFill="1" applyBorder="1" applyAlignment="1" applyProtection="1">
      <alignment vertical="center"/>
    </xf>
    <xf numFmtId="188" fontId="17" fillId="0" borderId="17" xfId="0" applyNumberFormat="1" applyFont="1" applyFill="1" applyBorder="1" applyAlignment="1" applyProtection="1">
      <alignment horizontal="center" vertical="center"/>
    </xf>
    <xf numFmtId="188" fontId="23" fillId="0" borderId="23" xfId="0" applyNumberFormat="1" applyFont="1" applyFill="1" applyBorder="1" applyAlignment="1" applyProtection="1">
      <alignment horizontal="center" vertical="center"/>
    </xf>
    <xf numFmtId="0" fontId="8" fillId="0" borderId="1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36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187" fontId="0" fillId="0" borderId="0" xfId="0" applyNumberFormat="1" applyAlignment="1">
      <alignment horizontal="left" vertical="center"/>
    </xf>
    <xf numFmtId="187" fontId="0" fillId="0" borderId="17" xfId="0" applyNumberFormat="1" applyBorder="1" applyAlignment="1">
      <alignment horizontal="left" vertical="center"/>
    </xf>
    <xf numFmtId="187" fontId="0" fillId="0" borderId="0" xfId="0" applyNumberForma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16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NumberFormat="1" applyFont="1" applyAlignment="1">
      <alignment vertical="center"/>
    </xf>
    <xf numFmtId="0" fontId="39" fillId="0" borderId="0" xfId="0" applyNumberFormat="1" applyFont="1" applyAlignment="1">
      <alignment horizontal="center" vertical="center"/>
    </xf>
    <xf numFmtId="0" fontId="37" fillId="0" borderId="0" xfId="0" applyNumberFormat="1" applyFont="1" applyAlignment="1">
      <alignment horizontal="center" vertical="center"/>
    </xf>
    <xf numFmtId="0" fontId="37" fillId="0" borderId="0" xfId="0" applyNumberFormat="1" applyFont="1" applyAlignment="1">
      <alignment vertical="center"/>
    </xf>
    <xf numFmtId="0" fontId="39" fillId="0" borderId="0" xfId="1" applyNumberFormat="1" applyFont="1" applyAlignment="1">
      <alignment vertical="center"/>
    </xf>
    <xf numFmtId="0" fontId="0" fillId="0" borderId="0" xfId="0" applyBorder="1" applyAlignment="1" applyProtection="1">
      <alignment horizontal="right" vertical="center"/>
    </xf>
    <xf numFmtId="0" fontId="14" fillId="0" borderId="0" xfId="0" applyFont="1" applyFill="1" applyAlignment="1">
      <alignment vertical="center"/>
    </xf>
    <xf numFmtId="188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left"/>
    </xf>
    <xf numFmtId="0" fontId="3" fillId="0" borderId="0" xfId="0" applyFont="1"/>
    <xf numFmtId="0" fontId="3" fillId="0" borderId="0" xfId="0" applyFont="1" applyFill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3" fillId="0" borderId="17" xfId="0" applyFont="1" applyFill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0" fillId="0" borderId="20" xfId="0" applyBorder="1" applyAlignment="1">
      <alignment horizontal="left" vertical="center"/>
    </xf>
    <xf numFmtId="0" fontId="18" fillId="0" borderId="22" xfId="0" applyFont="1" applyBorder="1" applyAlignment="1" applyProtection="1">
      <alignment horizontal="left" vertical="center"/>
    </xf>
    <xf numFmtId="0" fontId="18" fillId="0" borderId="6" xfId="0" applyFont="1" applyBorder="1" applyAlignment="1">
      <alignment vertical="center"/>
    </xf>
    <xf numFmtId="0" fontId="18" fillId="0" borderId="11" xfId="0" applyFont="1" applyBorder="1" applyAlignment="1" applyProtection="1">
      <alignment horizontal="left" vertical="center"/>
      <protection locked="0"/>
    </xf>
    <xf numFmtId="0" fontId="18" fillId="0" borderId="11" xfId="0" applyFont="1" applyBorder="1" applyAlignment="1" applyProtection="1">
      <alignment horizontal="left" vertical="center"/>
    </xf>
    <xf numFmtId="0" fontId="30" fillId="0" borderId="0" xfId="0" applyFont="1" applyBorder="1" applyAlignment="1">
      <alignment vertical="center"/>
    </xf>
    <xf numFmtId="0" fontId="18" fillId="0" borderId="37" xfId="0" applyFont="1" applyBorder="1" applyAlignment="1" applyProtection="1">
      <alignment horizontal="left" vertical="center"/>
    </xf>
    <xf numFmtId="0" fontId="18" fillId="0" borderId="38" xfId="0" applyFont="1" applyBorder="1" applyAlignment="1" applyProtection="1">
      <alignment horizontal="center" vertical="center"/>
    </xf>
    <xf numFmtId="0" fontId="33" fillId="0" borderId="38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39" fontId="18" fillId="0" borderId="38" xfId="0" applyNumberFormat="1" applyFont="1" applyBorder="1" applyAlignment="1" applyProtection="1">
      <alignment vertical="center"/>
    </xf>
    <xf numFmtId="0" fontId="30" fillId="0" borderId="6" xfId="0" applyFont="1" applyBorder="1" applyAlignment="1">
      <alignment vertical="center"/>
    </xf>
    <xf numFmtId="0" fontId="30" fillId="0" borderId="33" xfId="0" applyFont="1" applyBorder="1" applyAlignment="1">
      <alignment vertical="center"/>
    </xf>
    <xf numFmtId="0" fontId="17" fillId="0" borderId="6" xfId="0" applyFont="1" applyBorder="1" applyAlignment="1" applyProtection="1">
      <alignment horizontal="center" vertical="center"/>
    </xf>
    <xf numFmtId="0" fontId="17" fillId="0" borderId="12" xfId="0" applyFont="1" applyFill="1" applyBorder="1" applyAlignment="1" applyProtection="1">
      <alignment horizontal="center" vertical="center"/>
    </xf>
    <xf numFmtId="187" fontId="17" fillId="0" borderId="0" xfId="0" applyNumberFormat="1" applyFont="1" applyFill="1" applyBorder="1" applyAlignment="1" applyProtection="1">
      <alignment horizontal="center" vertical="center"/>
    </xf>
    <xf numFmtId="187" fontId="17" fillId="0" borderId="12" xfId="0" applyNumberFormat="1" applyFont="1" applyFill="1" applyBorder="1" applyAlignment="1" applyProtection="1">
      <alignment horizontal="center" vertical="center"/>
    </xf>
    <xf numFmtId="0" fontId="17" fillId="0" borderId="38" xfId="0" applyFont="1" applyBorder="1" applyAlignment="1" applyProtection="1">
      <alignment horizontal="center" vertical="center"/>
    </xf>
    <xf numFmtId="39" fontId="17" fillId="0" borderId="38" xfId="0" applyNumberFormat="1" applyFont="1" applyFill="1" applyBorder="1" applyAlignment="1" applyProtection="1">
      <alignment horizontal="center" vertical="center"/>
    </xf>
    <xf numFmtId="187" fontId="17" fillId="0" borderId="39" xfId="0" applyNumberFormat="1" applyFont="1" applyFill="1" applyBorder="1" applyAlignment="1" applyProtection="1">
      <alignment horizontal="center" vertical="center"/>
    </xf>
    <xf numFmtId="0" fontId="20" fillId="0" borderId="6" xfId="0" applyFont="1" applyBorder="1" applyAlignment="1">
      <alignment vertical="center"/>
    </xf>
    <xf numFmtId="187" fontId="17" fillId="0" borderId="12" xfId="0" applyNumberFormat="1" applyFont="1" applyBorder="1" applyAlignment="1">
      <alignment horizontal="center" vertical="center"/>
    </xf>
    <xf numFmtId="187" fontId="17" fillId="0" borderId="39" xfId="0" applyNumberFormat="1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left" vertical="center"/>
    </xf>
    <xf numFmtId="0" fontId="21" fillId="0" borderId="6" xfId="0" applyFont="1" applyFill="1" applyBorder="1" applyAlignment="1" applyProtection="1">
      <alignment horizontal="center" vertical="center"/>
      <protection locked="0"/>
    </xf>
    <xf numFmtId="0" fontId="21" fillId="0" borderId="21" xfId="0" applyNumberFormat="1" applyFont="1" applyFill="1" applyBorder="1" applyAlignment="1" applyProtection="1">
      <alignment horizontal="center" vertical="center"/>
      <protection locked="0"/>
    </xf>
    <xf numFmtId="0" fontId="18" fillId="0" borderId="37" xfId="0" applyFont="1" applyBorder="1" applyAlignment="1">
      <alignment vertical="center"/>
    </xf>
    <xf numFmtId="0" fontId="18" fillId="0" borderId="38" xfId="0" applyFont="1" applyBorder="1" applyAlignment="1" applyProtection="1">
      <alignment horizontal="left" vertical="center"/>
    </xf>
    <xf numFmtId="0" fontId="31" fillId="0" borderId="38" xfId="0" applyNumberFormat="1" applyFont="1" applyBorder="1" applyAlignment="1">
      <alignment horizontal="center" vertical="center"/>
    </xf>
    <xf numFmtId="0" fontId="21" fillId="0" borderId="38" xfId="0" applyFont="1" applyFill="1" applyBorder="1" applyAlignment="1" applyProtection="1">
      <alignment horizontal="center" vertical="center"/>
      <protection locked="0"/>
    </xf>
    <xf numFmtId="0" fontId="21" fillId="0" borderId="39" xfId="0" applyNumberFormat="1" applyFont="1" applyFill="1" applyBorder="1" applyAlignment="1" applyProtection="1">
      <alignment horizontal="center" vertical="center"/>
      <protection locked="0"/>
    </xf>
    <xf numFmtId="0" fontId="21" fillId="0" borderId="21" xfId="0" applyFont="1" applyFill="1" applyBorder="1" applyAlignment="1" applyProtection="1">
      <alignment horizontal="center" vertical="center"/>
      <protection locked="0"/>
    </xf>
    <xf numFmtId="0" fontId="31" fillId="0" borderId="38" xfId="0" applyFont="1" applyBorder="1" applyAlignment="1">
      <alignment horizontal="center" vertical="center"/>
    </xf>
    <xf numFmtId="0" fontId="21" fillId="0" borderId="39" xfId="0" applyFont="1" applyFill="1" applyBorder="1" applyAlignment="1" applyProtection="1">
      <alignment horizontal="center" vertical="center"/>
      <protection locked="0"/>
    </xf>
    <xf numFmtId="2" fontId="21" fillId="0" borderId="6" xfId="0" applyNumberFormat="1" applyFont="1" applyFill="1" applyBorder="1" applyAlignment="1" applyProtection="1">
      <alignment horizontal="center" vertical="center"/>
      <protection locked="0"/>
    </xf>
    <xf numFmtId="187" fontId="26" fillId="0" borderId="6" xfId="0" applyNumberFormat="1" applyFont="1" applyFill="1" applyBorder="1" applyAlignment="1" applyProtection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37" fontId="17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Alignment="1">
      <alignment horizontal="center"/>
    </xf>
    <xf numFmtId="0" fontId="40" fillId="0" borderId="0" xfId="0" applyFont="1" applyBorder="1" applyAlignment="1">
      <alignment vertical="center"/>
    </xf>
    <xf numFmtId="0" fontId="37" fillId="0" borderId="0" xfId="0" applyFont="1" applyBorder="1" applyAlignment="1" applyProtection="1">
      <alignment horizontal="left" vertical="center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vertical="center"/>
    </xf>
    <xf numFmtId="0" fontId="37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right" vertical="center"/>
    </xf>
    <xf numFmtId="187" fontId="37" fillId="0" borderId="0" xfId="0" applyNumberFormat="1" applyFont="1" applyBorder="1" applyAlignment="1" applyProtection="1">
      <alignment vertical="center"/>
    </xf>
    <xf numFmtId="0" fontId="43" fillId="0" borderId="17" xfId="0" applyFont="1" applyFill="1" applyBorder="1" applyAlignment="1" applyProtection="1">
      <alignment horizontal="center" vertical="center"/>
    </xf>
    <xf numFmtId="0" fontId="39" fillId="0" borderId="0" xfId="0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44" fillId="0" borderId="0" xfId="0" applyFont="1" applyFill="1" applyBorder="1" applyAlignment="1" applyProtection="1">
      <alignment horizontal="center" vertical="center"/>
      <protection locked="0"/>
    </xf>
    <xf numFmtId="37" fontId="44" fillId="0" borderId="0" xfId="0" applyNumberFormat="1" applyFont="1" applyFill="1" applyBorder="1" applyAlignment="1" applyProtection="1">
      <alignment horizontal="center" vertical="center"/>
    </xf>
    <xf numFmtId="188" fontId="44" fillId="0" borderId="0" xfId="0" applyNumberFormat="1" applyFont="1" applyFill="1" applyBorder="1" applyAlignment="1" applyProtection="1">
      <alignment horizontal="center" vertical="center"/>
    </xf>
    <xf numFmtId="0" fontId="45" fillId="0" borderId="0" xfId="0" applyFont="1" applyBorder="1" applyAlignment="1">
      <alignment horizontal="center" vertical="center"/>
    </xf>
    <xf numFmtId="191" fontId="45" fillId="0" borderId="0" xfId="0" applyNumberFormat="1" applyFont="1" applyBorder="1" applyAlignment="1">
      <alignment horizontal="center" vertical="center"/>
    </xf>
    <xf numFmtId="2" fontId="37" fillId="0" borderId="0" xfId="0" applyNumberFormat="1" applyFont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5" fillId="0" borderId="6" xfId="0" applyFont="1" applyFill="1" applyBorder="1" applyAlignment="1" applyProtection="1">
      <alignment horizontal="center" vertical="center"/>
    </xf>
    <xf numFmtId="0" fontId="25" fillId="0" borderId="21" xfId="0" applyFont="1" applyFill="1" applyBorder="1" applyAlignment="1" applyProtection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2" fillId="2" borderId="13" xfId="0" applyFont="1" applyFill="1" applyBorder="1" applyAlignment="1" applyProtection="1">
      <alignment horizontal="center" vertical="center"/>
    </xf>
    <xf numFmtId="0" fontId="42" fillId="2" borderId="14" xfId="0" applyFont="1" applyFill="1" applyBorder="1" applyAlignment="1" applyProtection="1">
      <alignment horizontal="center" vertical="center"/>
    </xf>
    <xf numFmtId="0" fontId="42" fillId="2" borderId="15" xfId="0" applyFont="1" applyFill="1" applyBorder="1" applyAlignment="1" applyProtection="1">
      <alignment horizontal="center" vertical="center"/>
    </xf>
    <xf numFmtId="0" fontId="18" fillId="0" borderId="24" xfId="0" applyFont="1" applyFill="1" applyBorder="1" applyAlignment="1" applyProtection="1">
      <alignment horizontal="center" vertical="center"/>
    </xf>
    <xf numFmtId="0" fontId="18" fillId="0" borderId="25" xfId="0" applyFont="1" applyFill="1" applyBorder="1" applyAlignment="1" applyProtection="1">
      <alignment horizontal="center" vertical="center"/>
    </xf>
    <xf numFmtId="0" fontId="19" fillId="0" borderId="32" xfId="0" applyFont="1" applyFill="1" applyBorder="1" applyAlignment="1" applyProtection="1">
      <alignment horizontal="center" vertical="center"/>
      <protection locked="0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19" fillId="0" borderId="34" xfId="0" applyFont="1" applyFill="1" applyBorder="1" applyAlignment="1" applyProtection="1">
      <alignment horizontal="center" vertical="center"/>
      <protection locked="0"/>
    </xf>
    <xf numFmtId="0" fontId="19" fillId="0" borderId="35" xfId="0" applyFont="1" applyFill="1" applyBorder="1" applyAlignment="1" applyProtection="1">
      <alignment horizontal="center" vertical="center"/>
      <protection locked="0"/>
    </xf>
    <xf numFmtId="0" fontId="19" fillId="0" borderId="28" xfId="0" applyFont="1" applyFill="1" applyBorder="1" applyAlignment="1" applyProtection="1">
      <alignment horizontal="center" vertical="center"/>
      <protection locked="0"/>
    </xf>
    <xf numFmtId="0" fontId="19" fillId="0" borderId="31" xfId="0" applyFont="1" applyFill="1" applyBorder="1" applyAlignment="1" applyProtection="1">
      <alignment horizontal="center" vertical="center"/>
      <protection locked="0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36" xfId="0" applyFont="1" applyFill="1" applyBorder="1" applyAlignment="1" applyProtection="1">
      <alignment horizontal="center" vertical="center"/>
    </xf>
    <xf numFmtId="0" fontId="21" fillId="0" borderId="32" xfId="0" applyFont="1" applyFill="1" applyBorder="1" applyAlignment="1" applyProtection="1">
      <alignment horizontal="center" vertical="center"/>
      <protection locked="0"/>
    </xf>
    <xf numFmtId="0" fontId="21" fillId="0" borderId="33" xfId="0" applyFont="1" applyFill="1" applyBorder="1" applyAlignment="1" applyProtection="1">
      <alignment horizontal="center" vertical="center"/>
      <protection locked="0"/>
    </xf>
    <xf numFmtId="0" fontId="21" fillId="0" borderId="36" xfId="0" applyFont="1" applyFill="1" applyBorder="1" applyAlignment="1" applyProtection="1">
      <alignment horizontal="center" vertical="center"/>
      <protection locked="0"/>
    </xf>
    <xf numFmtId="14" fontId="17" fillId="0" borderId="35" xfId="0" applyNumberFormat="1" applyFont="1" applyFill="1" applyBorder="1" applyAlignment="1" applyProtection="1">
      <alignment horizontal="center" vertical="center"/>
    </xf>
    <xf numFmtId="14" fontId="17" fillId="0" borderId="28" xfId="0" applyNumberFormat="1" applyFont="1" applyFill="1" applyBorder="1" applyAlignment="1" applyProtection="1">
      <alignment horizontal="center" vertical="center"/>
    </xf>
    <xf numFmtId="14" fontId="17" fillId="0" borderId="30" xfId="0" applyNumberFormat="1" applyFont="1" applyFill="1" applyBorder="1" applyAlignment="1" applyProtection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5547075846288444"/>
          <c:y val="0"/>
          <c:w val="0.84452954172095129"/>
          <c:h val="1"/>
        </c:manualLayout>
      </c:layout>
      <c:scatterChart>
        <c:scatterStyle val="smoothMarker"/>
        <c:ser>
          <c:idx val="0"/>
          <c:order val="0"/>
          <c:tx>
            <c:v>dimension x-y</c:v>
          </c:tx>
          <c:spPr>
            <a:ln w="15875">
              <a:solidFill>
                <a:schemeClr val="accent1"/>
              </a:solidFill>
            </a:ln>
          </c:spPr>
          <c:marker>
            <c:symbol val="picture"/>
          </c:marker>
          <c:xVal>
            <c:numRef>
              <c:f>'B-1'!$AE$31:$AF$31</c:f>
              <c:numCache>
                <c:formatCode>General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xVal>
          <c:yVal>
            <c:numRef>
              <c:f>'B-1'!$AE$32:$AF$32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1"/>
        </c:ser>
        <c:ser>
          <c:idx val="1"/>
          <c:order val="1"/>
          <c:tx>
            <c:v>dimension x-y (2)</c:v>
          </c:tx>
          <c:spPr>
            <a:ln w="15875">
              <a:solidFill>
                <a:schemeClr val="accent1"/>
              </a:solidFill>
            </a:ln>
          </c:spPr>
          <c:marker>
            <c:symbol val="picture"/>
          </c:marker>
          <c:xVal>
            <c:numRef>
              <c:f>'B-1'!$AF$31:$AG$31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'B-1'!$AF$32:$AG$32</c:f>
              <c:numCache>
                <c:formatCode>General</c:formatCode>
                <c:ptCount val="2"/>
                <c:pt idx="0">
                  <c:v>5</c:v>
                </c:pt>
                <c:pt idx="1">
                  <c:v>55</c:v>
                </c:pt>
              </c:numCache>
            </c:numRef>
          </c:yVal>
          <c:smooth val="1"/>
        </c:ser>
        <c:ser>
          <c:idx val="2"/>
          <c:order val="2"/>
          <c:tx>
            <c:v>dimension x-y(3)</c:v>
          </c:tx>
          <c:spPr>
            <a:ln w="15875">
              <a:solidFill>
                <a:srgbClr val="4F81BD"/>
              </a:solidFill>
            </a:ln>
          </c:spPr>
          <c:marker>
            <c:symbol val="picture"/>
          </c:marker>
          <c:xVal>
            <c:numRef>
              <c:f>'B-1'!$AG$31:$AH$31</c:f>
              <c:numCache>
                <c:formatCode>General</c:formatCode>
                <c:ptCount val="2"/>
                <c:pt idx="0">
                  <c:v>20</c:v>
                </c:pt>
                <c:pt idx="1">
                  <c:v>0</c:v>
                </c:pt>
              </c:numCache>
            </c:numRef>
          </c:xVal>
          <c:yVal>
            <c:numRef>
              <c:f>'B-1'!$AG$32:$AH$32</c:f>
              <c:numCache>
                <c:formatCode>General</c:formatCode>
                <c:ptCount val="2"/>
                <c:pt idx="0">
                  <c:v>55</c:v>
                </c:pt>
                <c:pt idx="1">
                  <c:v>55</c:v>
                </c:pt>
              </c:numCache>
            </c:numRef>
          </c:yVal>
          <c:smooth val="1"/>
        </c:ser>
        <c:ser>
          <c:idx val="4"/>
          <c:order val="4"/>
          <c:tx>
            <c:v>dimension y(5)</c:v>
          </c:tx>
          <c:spPr>
            <a:ln w="9525">
              <a:solidFill>
                <a:schemeClr val="tx1"/>
              </a:solidFill>
            </a:ln>
          </c:spPr>
          <c:marker>
            <c:symbol val="picture"/>
          </c:marker>
          <c:xVal>
            <c:numRef>
              <c:f>'B-1'!$AJ$31:$AK$31</c:f>
              <c:numCache>
                <c:formatCode>General</c:formatCode>
                <c:ptCount val="2"/>
                <c:pt idx="0">
                  <c:v>22</c:v>
                </c:pt>
                <c:pt idx="1">
                  <c:v>30</c:v>
                </c:pt>
              </c:numCache>
            </c:numRef>
          </c:xVal>
          <c:yVal>
            <c:numRef>
              <c:f>'B-1'!$AJ$32:$AK$32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1"/>
        </c:ser>
        <c:ser>
          <c:idx val="5"/>
          <c:order val="5"/>
          <c:tx>
            <c:v>dimension y(6)</c:v>
          </c:tx>
          <c:spPr>
            <a:ln w="6350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ysClr val="windowText" lastClr="000000"/>
              </a:solidFill>
            </c:spPr>
          </c:marker>
          <c:xVal>
            <c:numRef>
              <c:f>'B-1'!$AL$31:$AM$31</c:f>
              <c:numCache>
                <c:formatCode>General</c:formatCode>
                <c:ptCount val="2"/>
                <c:pt idx="0">
                  <c:v>28</c:v>
                </c:pt>
                <c:pt idx="1">
                  <c:v>28</c:v>
                </c:pt>
              </c:numCache>
            </c:numRef>
          </c:xVal>
          <c:yVal>
            <c:numRef>
              <c:f>'B-1'!$AL$32:$AM$32</c:f>
              <c:numCache>
                <c:formatCode>General</c:formatCode>
                <c:ptCount val="2"/>
                <c:pt idx="0">
                  <c:v>5</c:v>
                </c:pt>
                <c:pt idx="1">
                  <c:v>55</c:v>
                </c:pt>
              </c:numCache>
            </c:numRef>
          </c:yVal>
          <c:smooth val="1"/>
        </c:ser>
        <c:ser>
          <c:idx val="6"/>
          <c:order val="6"/>
          <c:tx>
            <c:v>dimension y(7)</c:v>
          </c:tx>
          <c:spPr>
            <a:ln w="9525">
              <a:solidFill>
                <a:schemeClr val="tx1"/>
              </a:solidFill>
            </a:ln>
          </c:spPr>
          <c:marker>
            <c:symbol val="picture"/>
          </c:marker>
          <c:xVal>
            <c:numRef>
              <c:f>'B-1'!$AJ$33:$AK$33</c:f>
              <c:numCache>
                <c:formatCode>General</c:formatCode>
                <c:ptCount val="2"/>
                <c:pt idx="0">
                  <c:v>22</c:v>
                </c:pt>
                <c:pt idx="1">
                  <c:v>30</c:v>
                </c:pt>
              </c:numCache>
            </c:numRef>
          </c:xVal>
          <c:yVal>
            <c:numRef>
              <c:f>'B-1'!$AJ$34:$AK$34</c:f>
              <c:numCache>
                <c:formatCode>General</c:formatCode>
                <c:ptCount val="2"/>
                <c:pt idx="0">
                  <c:v>55</c:v>
                </c:pt>
                <c:pt idx="1">
                  <c:v>55</c:v>
                </c:pt>
              </c:numCache>
            </c:numRef>
          </c:yVal>
          <c:smooth val="1"/>
        </c:ser>
        <c:ser>
          <c:idx val="7"/>
          <c:order val="7"/>
          <c:tx>
            <c:v>dimension x(5)</c:v>
          </c:tx>
          <c:spPr>
            <a:ln w="6350">
              <a:solidFill>
                <a:sysClr val="windowText" lastClr="000000"/>
              </a:solidFill>
            </a:ln>
          </c:spPr>
          <c:marker>
            <c:symbol val="circle"/>
            <c:size val="3"/>
            <c:spPr>
              <a:solidFill>
                <a:sysClr val="windowText" lastClr="000000"/>
              </a:solidFill>
            </c:spPr>
          </c:marker>
          <c:xVal>
            <c:numRef>
              <c:f>'B-1'!$AU$31:$AV$31</c:f>
              <c:numCache>
                <c:formatCode>General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xVal>
          <c:yVal>
            <c:numRef>
              <c:f>'B-1'!$AU$32:$AV$32</c:f>
              <c:numCache>
                <c:formatCode>General</c:formatCode>
                <c:ptCount val="2"/>
                <c:pt idx="0">
                  <c:v>65</c:v>
                </c:pt>
                <c:pt idx="1">
                  <c:v>65</c:v>
                </c:pt>
              </c:numCache>
            </c:numRef>
          </c:yVal>
          <c:smooth val="1"/>
        </c:ser>
        <c:ser>
          <c:idx val="8"/>
          <c:order val="8"/>
          <c:tx>
            <c:v>dimension x(6)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'B-1'!$AW$31:$AX$31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'B-1'!$AW$32:$AX$32</c:f>
              <c:numCache>
                <c:formatCode>General</c:formatCode>
                <c:ptCount val="2"/>
                <c:pt idx="0">
                  <c:v>57</c:v>
                </c:pt>
                <c:pt idx="1">
                  <c:v>67</c:v>
                </c:pt>
              </c:numCache>
            </c:numRef>
          </c:yVal>
          <c:smooth val="1"/>
        </c:ser>
        <c:ser>
          <c:idx val="9"/>
          <c:order val="9"/>
          <c:tx>
            <c:v>dimension x(7)</c:v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'B-1'!$AU$33:$AV$33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'B-1'!$AU$34:$AV$34</c:f>
              <c:numCache>
                <c:formatCode>General</c:formatCode>
                <c:ptCount val="2"/>
                <c:pt idx="0">
                  <c:v>57</c:v>
                </c:pt>
                <c:pt idx="1">
                  <c:v>67</c:v>
                </c:pt>
              </c:numCache>
            </c:numRef>
          </c:yVal>
          <c:smooth val="1"/>
        </c:ser>
        <c:ser>
          <c:idx val="10"/>
          <c:order val="10"/>
          <c:tx>
            <c:v>str1</c:v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picture"/>
            <c:spPr>
              <a:solidFill>
                <a:sysClr val="windowText" lastClr="000000"/>
              </a:solidFill>
            </c:spPr>
          </c:marker>
          <c:xVal>
            <c:numRef>
              <c:f>'B-1'!$AE$34:$AF$34</c:f>
              <c:numCache>
                <c:formatCode>General</c:formatCode>
                <c:ptCount val="2"/>
                <c:pt idx="0">
                  <c:v>2.5</c:v>
                </c:pt>
                <c:pt idx="1">
                  <c:v>17.5</c:v>
                </c:pt>
              </c:numCache>
            </c:numRef>
          </c:xVal>
          <c:yVal>
            <c:numRef>
              <c:f>'B-1'!$AE$35:$AF$35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yVal>
          <c:smooth val="1"/>
        </c:ser>
        <c:ser>
          <c:idx val="11"/>
          <c:order val="11"/>
          <c:tx>
            <c:v>str2</c:v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picture"/>
            <c:spPr>
              <a:solidFill>
                <a:schemeClr val="tx1"/>
              </a:solidFill>
            </c:spPr>
          </c:marker>
          <c:xVal>
            <c:numRef>
              <c:f>'B-1'!$AF$34:$AG$34</c:f>
              <c:numCache>
                <c:formatCode>General</c:formatCode>
                <c:ptCount val="2"/>
                <c:pt idx="0">
                  <c:v>17.5</c:v>
                </c:pt>
                <c:pt idx="1">
                  <c:v>17.5</c:v>
                </c:pt>
              </c:numCache>
            </c:numRef>
          </c:xVal>
          <c:yVal>
            <c:numRef>
              <c:f>'B-1'!$AF$35:$AG$35</c:f>
              <c:numCache>
                <c:formatCode>General</c:formatCode>
                <c:ptCount val="2"/>
                <c:pt idx="0">
                  <c:v>8</c:v>
                </c:pt>
                <c:pt idx="1">
                  <c:v>52.5</c:v>
                </c:pt>
              </c:numCache>
            </c:numRef>
          </c:yVal>
          <c:smooth val="1"/>
        </c:ser>
        <c:ser>
          <c:idx val="12"/>
          <c:order val="12"/>
          <c:tx>
            <c:v>str3</c:v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picture"/>
            <c:spPr>
              <a:noFill/>
            </c:spPr>
          </c:marker>
          <c:xVal>
            <c:numRef>
              <c:f>'B-1'!$AG$34:$AH$34</c:f>
              <c:numCache>
                <c:formatCode>General</c:formatCode>
                <c:ptCount val="2"/>
                <c:pt idx="0">
                  <c:v>17.5</c:v>
                </c:pt>
                <c:pt idx="1">
                  <c:v>2.5</c:v>
                </c:pt>
              </c:numCache>
            </c:numRef>
          </c:xVal>
          <c:yVal>
            <c:numRef>
              <c:f>'B-1'!$AG$35:$AH$35</c:f>
              <c:numCache>
                <c:formatCode>General</c:formatCode>
                <c:ptCount val="2"/>
                <c:pt idx="0">
                  <c:v>52.5</c:v>
                </c:pt>
                <c:pt idx="1">
                  <c:v>52.5</c:v>
                </c:pt>
              </c:numCache>
            </c:numRef>
          </c:yVal>
          <c:smooth val="1"/>
        </c:ser>
        <c:ser>
          <c:idx val="13"/>
          <c:order val="13"/>
          <c:tx>
            <c:v>str4</c:v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picture"/>
          </c:marker>
          <c:xVal>
            <c:numRef>
              <c:f>'B-1'!$AH$34:$AI$34</c:f>
              <c:numCache>
                <c:formatCode>General</c:formatCode>
                <c:ptCount val="2"/>
                <c:pt idx="0">
                  <c:v>2.5</c:v>
                </c:pt>
                <c:pt idx="1">
                  <c:v>2.5</c:v>
                </c:pt>
              </c:numCache>
            </c:numRef>
          </c:xVal>
          <c:yVal>
            <c:numRef>
              <c:f>'B-1'!$AH$35:$AI$35</c:f>
              <c:numCache>
                <c:formatCode>General</c:formatCode>
                <c:ptCount val="2"/>
                <c:pt idx="0">
                  <c:v>52.5</c:v>
                </c:pt>
                <c:pt idx="1">
                  <c:v>8</c:v>
                </c:pt>
              </c:numCache>
            </c:numRef>
          </c:yVal>
          <c:smooth val="1"/>
        </c:ser>
        <c:ser>
          <c:idx val="15"/>
          <c:order val="14"/>
          <c:tx>
            <c:v>steel 2 d</c:v>
          </c:tx>
          <c:spPr>
            <a:ln>
              <a:noFill/>
            </a:ln>
          </c:spPr>
          <c:marker>
            <c:symbol val="circle"/>
            <c:size val="5"/>
          </c:marker>
          <c:xVal>
            <c:numRef>
              <c:f>'B-1'!$AK$44:$AN$44</c:f>
              <c:numCache>
                <c:formatCode>General</c:formatCode>
                <c:ptCount val="4"/>
                <c:pt idx="0">
                  <c:v>0</c:v>
                </c:pt>
                <c:pt idx="3">
                  <c:v>0</c:v>
                </c:pt>
              </c:numCache>
            </c:numRef>
          </c:xVal>
          <c:yVal>
            <c:numRef>
              <c:f>'B-1'!$AK$45:$AN$45</c:f>
              <c:numCache>
                <c:formatCode>General</c:formatCode>
                <c:ptCount val="4"/>
                <c:pt idx="0">
                  <c:v>0</c:v>
                </c:pt>
                <c:pt idx="3">
                  <c:v>0</c:v>
                </c:pt>
              </c:numCache>
            </c:numRef>
          </c:yVal>
          <c:smooth val="1"/>
        </c:ser>
        <c:ser>
          <c:idx val="16"/>
          <c:order val="15"/>
          <c:tx>
            <c:v>steel 3 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'B-1'!$AJ$51:$AN$51</c:f>
              <c:numCache>
                <c:formatCode>General</c:formatCode>
                <c:ptCount val="5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'B-1'!$AJ$52:$AN$52</c:f>
              <c:numCache>
                <c:formatCode>General</c:formatCode>
                <c:ptCount val="5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17"/>
          <c:order val="16"/>
          <c:tx>
            <c:v>steel 4 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noFill/>
              </a:ln>
            </c:spPr>
          </c:marker>
          <c:xVal>
            <c:numRef>
              <c:f>'B-1'!$AD$51:$AH$51</c:f>
              <c:numCache>
                <c:formatCode>General</c:formatCode>
                <c:ptCount val="5"/>
                <c:pt idx="0">
                  <c:v>3</c:v>
                </c:pt>
                <c:pt idx="1">
                  <c:v>7.6</c:v>
                </c:pt>
                <c:pt idx="3">
                  <c:v>12.4</c:v>
                </c:pt>
                <c:pt idx="4">
                  <c:v>17</c:v>
                </c:pt>
              </c:numCache>
            </c:numRef>
          </c:xVal>
          <c:yVal>
            <c:numRef>
              <c:f>'B-1'!$AD$52:$AH$52</c:f>
              <c:numCache>
                <c:formatCode>General</c:formatCode>
                <c:ptCount val="5"/>
                <c:pt idx="0">
                  <c:v>8.6999999999999993</c:v>
                </c:pt>
                <c:pt idx="1">
                  <c:v>8.6999999999999993</c:v>
                </c:pt>
                <c:pt idx="3">
                  <c:v>8.6999999999999993</c:v>
                </c:pt>
                <c:pt idx="4">
                  <c:v>8.6999999999999993</c:v>
                </c:pt>
              </c:numCache>
            </c:numRef>
          </c:yVal>
          <c:smooth val="1"/>
        </c:ser>
        <c:ser>
          <c:idx val="18"/>
          <c:order val="17"/>
          <c:tx>
            <c:v>steel 5 d</c:v>
          </c:tx>
          <c:spPr>
            <a:ln w="0" cap="rnd" cmpd="sng"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noFill/>
              </a:ln>
            </c:spPr>
          </c:marker>
          <c:xVal>
            <c:numRef>
              <c:f>'B-1'!$AD$39:$AH$39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'B-1'!$AD$40:$AH$40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19"/>
          <c:order val="18"/>
          <c:tx>
            <c:v>steel 6 d</c:v>
          </c:tx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'B-1'!$AJ$54:$AN$54</c:f>
              <c:numCache>
                <c:formatCode>General</c:formatCode>
                <c:ptCount val="5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'B-1'!$AJ$55:$AN$55</c:f>
              <c:numCache>
                <c:formatCode>General</c:formatCode>
                <c:ptCount val="5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20"/>
          <c:order val="19"/>
          <c:tx>
            <c:v>steel 7 d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'B-1'!$AJ$60:$AN$60</c:f>
              <c:numCache>
                <c:formatCode>General</c:formatCode>
                <c:ptCount val="5"/>
                <c:pt idx="0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'B-1'!$AJ$61:$AN$61</c:f>
              <c:numCache>
                <c:formatCode>General</c:formatCode>
                <c:ptCount val="5"/>
                <c:pt idx="0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21"/>
          <c:order val="20"/>
          <c:tx>
            <c:v>steel 8 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'B-1'!$AD$54:$AH$54</c:f>
              <c:numCache>
                <c:formatCode>General</c:formatCode>
                <c:ptCount val="5"/>
                <c:pt idx="0">
                  <c:v>3</c:v>
                </c:pt>
                <c:pt idx="1">
                  <c:v>7.6</c:v>
                </c:pt>
                <c:pt idx="3">
                  <c:v>12.4</c:v>
                </c:pt>
                <c:pt idx="4">
                  <c:v>17</c:v>
                </c:pt>
              </c:numCache>
            </c:numRef>
          </c:xVal>
          <c:yVal>
            <c:numRef>
              <c:f>'B-1'!$AD$55:$AH$55</c:f>
              <c:numCache>
                <c:formatCode>General</c:formatCode>
                <c:ptCount val="5"/>
                <c:pt idx="0">
                  <c:v>11.5</c:v>
                </c:pt>
                <c:pt idx="1">
                  <c:v>11.5</c:v>
                </c:pt>
                <c:pt idx="3">
                  <c:v>11.5</c:v>
                </c:pt>
                <c:pt idx="4">
                  <c:v>11.5</c:v>
                </c:pt>
              </c:numCache>
            </c:numRef>
          </c:yVal>
          <c:smooth val="1"/>
        </c:ser>
        <c:ser>
          <c:idx val="22"/>
          <c:order val="21"/>
          <c:tx>
            <c:v>steel 9 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'B-1'!$AJ$57:$AN$57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'B-1'!$AJ$58:$AN$58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23"/>
          <c:order val="22"/>
          <c:tx>
            <c:v>steel 10 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noFill/>
              </a:ln>
            </c:spPr>
          </c:marker>
          <c:xVal>
            <c:numRef>
              <c:f>'B-1'!$AD$44:$AH$44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'B-1'!$AD$45:$AH$45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24"/>
          <c:order val="23"/>
          <c:tx>
            <c:v>steel 11 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'B-1'!$AK$40:$AN$40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'B-1'!$AK$41:$AN$41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1"/>
        </c:ser>
        <c:ser>
          <c:idx val="25"/>
          <c:order val="24"/>
          <c:tx>
            <c:v>steel 12 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'B-1'!$AD$57:$AH$57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'B-1'!$AD$58:$AH$58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26"/>
          <c:order val="25"/>
          <c:tx>
            <c:v>steel 13 d</c:v>
          </c:tx>
          <c:spPr>
            <a:ln>
              <a:noFill/>
            </a:ln>
          </c:spPr>
          <c:marker>
            <c:symbol val="circle"/>
            <c:size val="2"/>
            <c:spPr>
              <a:solidFill>
                <a:sysClr val="windowText" lastClr="000000"/>
              </a:solidFill>
            </c:spPr>
          </c:marker>
          <c:xVal>
            <c:numRef>
              <c:f>'B-1'!$AK$47:$AM$47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'B-1'!$AK$48:$AM$48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1"/>
        </c:ser>
        <c:ser>
          <c:idx val="27"/>
          <c:order val="26"/>
          <c:tx>
            <c:v>steel 14 d</c:v>
          </c:tx>
          <c:spPr>
            <a:ln>
              <a:solidFill>
                <a:schemeClr val="bg1"/>
              </a:solidFill>
            </a:ln>
          </c:spPr>
          <c:marker>
            <c:symbol val="none"/>
          </c:marker>
          <c:xVal>
            <c:numRef>
              <c:f>'B-1'!$AK$37:$AN$37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'B-1'!$AK$38:$AN$38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1"/>
        </c:ser>
        <c:ser>
          <c:idx val="28"/>
          <c:order val="27"/>
          <c:tx>
            <c:v>steel 15 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noFill/>
              </a:ln>
            </c:spPr>
          </c:marker>
          <c:xVal>
            <c:numRef>
              <c:f>'B-1'!$AD$48:$AH$48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'B-1'!$AD$49:$AH$49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29"/>
          <c:order val="28"/>
          <c:tx>
            <c:v>steel 2 t</c:v>
          </c:tx>
          <c:spPr>
            <a:ln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noFill/>
              </a:ln>
            </c:spPr>
          </c:marker>
          <c:xVal>
            <c:numRef>
              <c:f>'B-1'!$AV$44:$AY$44</c:f>
              <c:numCache>
                <c:formatCode>General</c:formatCode>
                <c:ptCount val="4"/>
                <c:pt idx="0">
                  <c:v>0</c:v>
                </c:pt>
                <c:pt idx="3">
                  <c:v>0</c:v>
                </c:pt>
              </c:numCache>
            </c:numRef>
          </c:xVal>
          <c:yVal>
            <c:numRef>
              <c:f>'B-1'!$AV$45:$AY$45</c:f>
              <c:numCache>
                <c:formatCode>General</c:formatCode>
                <c:ptCount val="4"/>
                <c:pt idx="0">
                  <c:v>0</c:v>
                </c:pt>
                <c:pt idx="3">
                  <c:v>0</c:v>
                </c:pt>
              </c:numCache>
            </c:numRef>
          </c:yVal>
          <c:smooth val="1"/>
        </c:ser>
        <c:ser>
          <c:idx val="31"/>
          <c:order val="29"/>
          <c:tx>
            <c:v>steel 4 t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'B-1'!$AO$51:$AS$51</c:f>
              <c:numCache>
                <c:formatCode>General</c:formatCode>
                <c:ptCount val="5"/>
                <c:pt idx="0">
                  <c:v>3</c:v>
                </c:pt>
                <c:pt idx="1">
                  <c:v>7.6</c:v>
                </c:pt>
                <c:pt idx="3">
                  <c:v>12.4</c:v>
                </c:pt>
                <c:pt idx="4">
                  <c:v>17</c:v>
                </c:pt>
              </c:numCache>
            </c:numRef>
          </c:xVal>
          <c:yVal>
            <c:numRef>
              <c:f>'B-1'!$AO$52:$AS$52</c:f>
              <c:numCache>
                <c:formatCode>General</c:formatCode>
                <c:ptCount val="5"/>
                <c:pt idx="0">
                  <c:v>52</c:v>
                </c:pt>
                <c:pt idx="1">
                  <c:v>52</c:v>
                </c:pt>
                <c:pt idx="3">
                  <c:v>52</c:v>
                </c:pt>
                <c:pt idx="4">
                  <c:v>52</c:v>
                </c:pt>
              </c:numCache>
            </c:numRef>
          </c:yVal>
          <c:smooth val="1"/>
        </c:ser>
        <c:ser>
          <c:idx val="35"/>
          <c:order val="30"/>
          <c:tx>
            <c:v>steel 8 t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'B-1'!$AO$54:$AS$54</c:f>
              <c:numCache>
                <c:formatCode>General</c:formatCode>
                <c:ptCount val="5"/>
                <c:pt idx="0">
                  <c:v>3</c:v>
                </c:pt>
                <c:pt idx="1">
                  <c:v>7.6</c:v>
                </c:pt>
                <c:pt idx="3">
                  <c:v>12.4</c:v>
                </c:pt>
                <c:pt idx="4">
                  <c:v>17</c:v>
                </c:pt>
              </c:numCache>
            </c:numRef>
          </c:xVal>
          <c:yVal>
            <c:numRef>
              <c:f>'B-1'!$AO$55:$AS$55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3">
                  <c:v>49</c:v>
                </c:pt>
                <c:pt idx="4">
                  <c:v>49</c:v>
                </c:pt>
              </c:numCache>
            </c:numRef>
          </c:yVal>
          <c:smooth val="1"/>
        </c:ser>
        <c:ser>
          <c:idx val="36"/>
          <c:order val="31"/>
          <c:tx>
            <c:v>steel 9 t</c:v>
          </c:tx>
          <c:spPr>
            <a:ln w="0"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'B-1'!$AU$57:$AY$57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'B-1'!$AU$58:$AY$58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40"/>
          <c:order val="32"/>
          <c:tx>
            <c:v>steel 13 t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'B-1'!$AV$47:$AX$47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'B-1'!$AV$48:$AX$48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1"/>
        </c:ser>
        <c:ser>
          <c:idx val="41"/>
          <c:order val="33"/>
          <c:tx>
            <c:v>steel 14 t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'B-1'!$AV$37:$AY$37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'B-1'!$AV$38:$AY$38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1"/>
        </c:ser>
        <c:ser>
          <c:idx val="42"/>
          <c:order val="34"/>
          <c:tx>
            <c:v>steel 15 t</c:v>
          </c:tx>
          <c:spPr>
            <a:ln w="3175"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 w="0">
                <a:solidFill>
                  <a:sysClr val="windowText" lastClr="000000"/>
                </a:solidFill>
              </a:ln>
            </c:spPr>
          </c:marker>
          <c:trendline>
            <c:trendlineType val="linear"/>
          </c:trendline>
          <c:xVal>
            <c:numRef>
              <c:f>'B-1'!$AO$48:$AS$48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'B-1'!$AO$49:$AS$49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axId val="74478336"/>
        <c:axId val="74480256"/>
      </c:scatterChart>
      <c:scatterChart>
        <c:scatterStyle val="smoothMarker"/>
        <c:ser>
          <c:idx val="3"/>
          <c:order val="3"/>
          <c:tx>
            <c:v>dimension x-y(4)</c:v>
          </c:tx>
          <c:spPr>
            <a:ln w="19050">
              <a:solidFill>
                <a:schemeClr val="accent1"/>
              </a:solidFill>
            </a:ln>
          </c:spPr>
          <c:marker>
            <c:symbol val="picture"/>
          </c:marker>
          <c:xVal>
            <c:numRef>
              <c:f>'B-1'!$AH$31:$AI$31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'B-1'!$AH$32:$AI$32</c:f>
              <c:numCache>
                <c:formatCode>General</c:formatCode>
                <c:ptCount val="2"/>
                <c:pt idx="0">
                  <c:v>55</c:v>
                </c:pt>
                <c:pt idx="1">
                  <c:v>5</c:v>
                </c:pt>
              </c:numCache>
            </c:numRef>
          </c:yVal>
          <c:smooth val="1"/>
        </c:ser>
        <c:ser>
          <c:idx val="14"/>
          <c:order val="35"/>
          <c:tx>
            <c:v>steel 3 t</c:v>
          </c:tx>
          <c:marker>
            <c:symbol val="circle"/>
            <c:size val="5"/>
            <c:spPr>
              <a:solidFill>
                <a:sysClr val="windowText" lastClr="000000"/>
              </a:solidFill>
              <a:ln>
                <a:noFill/>
              </a:ln>
            </c:spPr>
          </c:marker>
          <c:xVal>
            <c:numRef>
              <c:f>'B-1'!$AU$51:$AY$51</c:f>
              <c:numCache>
                <c:formatCode>General</c:formatCode>
                <c:ptCount val="5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'B-1'!$AU$52:$AY$52</c:f>
              <c:numCache>
                <c:formatCode>General</c:formatCode>
                <c:ptCount val="5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30"/>
          <c:order val="36"/>
          <c:tx>
            <c:v>steel 5 t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noFill/>
              </a:ln>
            </c:spPr>
          </c:marker>
          <c:xVal>
            <c:numRef>
              <c:f>'B-1'!$AO$39:$AS$39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'B-1'!$AO$40:$AS$40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32"/>
          <c:order val="37"/>
          <c:tx>
            <c:v>steel 6 t</c:v>
          </c:tx>
          <c:marker>
            <c:symbol val="circle"/>
            <c:size val="5"/>
            <c:spPr>
              <a:solidFill>
                <a:schemeClr val="tx1"/>
              </a:solidFill>
            </c:spPr>
          </c:marker>
          <c:xVal>
            <c:numRef>
              <c:f>'B-1'!$AU$54:$AY$54</c:f>
              <c:numCache>
                <c:formatCode>General</c:formatCode>
                <c:ptCount val="5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'B-1'!$AU$55:$AY$55</c:f>
              <c:numCache>
                <c:formatCode>General</c:formatCode>
                <c:ptCount val="5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33"/>
          <c:order val="38"/>
          <c:tx>
            <c:v>steel 7 t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'B-1'!$AU$60:$AY$60</c:f>
              <c:numCache>
                <c:formatCode>General</c:formatCode>
                <c:ptCount val="5"/>
                <c:pt idx="0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'B-1'!$AU$61:$AY$61</c:f>
              <c:numCache>
                <c:formatCode>General</c:formatCode>
                <c:ptCount val="5"/>
                <c:pt idx="0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34"/>
          <c:order val="39"/>
          <c:tx>
            <c:v>steel 10 t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noFill/>
              </a:ln>
            </c:spPr>
          </c:marker>
          <c:xVal>
            <c:numRef>
              <c:f>'B-1'!$AO$44:$AS$44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'B-1'!$AO$45:$AS$45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37"/>
          <c:order val="40"/>
          <c:tx>
            <c:v>steel 11 t</c:v>
          </c:tx>
          <c:spPr>
            <a:ln>
              <a:noFill/>
            </a:ln>
          </c:spPr>
          <c:marker>
            <c:symbol val="circle"/>
            <c:size val="2"/>
            <c:spPr>
              <a:noFill/>
            </c:spPr>
          </c:marker>
          <c:xVal>
            <c:numRef>
              <c:f>'B-1'!$AV$40:$AY$40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'B-1'!$AV$41:$AY$41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1"/>
        </c:ser>
        <c:ser>
          <c:idx val="38"/>
          <c:order val="41"/>
          <c:tx>
            <c:v>steel 12 t</c:v>
          </c:tx>
          <c:spPr>
            <a:ln>
              <a:solidFill>
                <a:schemeClr val="bg1"/>
              </a:solidFill>
            </a:ln>
          </c:spPr>
          <c:marker>
            <c:symbol val="plus"/>
            <c:size val="2"/>
            <c:spPr>
              <a:noFill/>
            </c:spPr>
          </c:marker>
          <c:xVal>
            <c:numRef>
              <c:f>'B-1'!$AO$57:$AS$57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'B-1'!$AO$58:$AS$58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axId val="74495872"/>
        <c:axId val="74494336"/>
      </c:scatterChart>
      <c:valAx>
        <c:axId val="74478336"/>
        <c:scaling>
          <c:orientation val="minMax"/>
        </c:scaling>
        <c:delete val="1"/>
        <c:axPos val="b"/>
        <c:numFmt formatCode="General" sourceLinked="1"/>
        <c:tickLblPos val="nextTo"/>
        <c:crossAx val="74480256"/>
        <c:crosses val="autoZero"/>
        <c:crossBetween val="midCat"/>
      </c:valAx>
      <c:valAx>
        <c:axId val="74480256"/>
        <c:scaling>
          <c:orientation val="minMax"/>
        </c:scaling>
        <c:delete val="1"/>
        <c:axPos val="l"/>
        <c:numFmt formatCode="General" sourceLinked="1"/>
        <c:tickLblPos val="nextTo"/>
        <c:crossAx val="74478336"/>
        <c:crosses val="autoZero"/>
        <c:crossBetween val="midCat"/>
      </c:valAx>
      <c:valAx>
        <c:axId val="74494336"/>
        <c:scaling>
          <c:orientation val="minMax"/>
        </c:scaling>
        <c:delete val="1"/>
        <c:axPos val="r"/>
        <c:numFmt formatCode="General" sourceLinked="1"/>
        <c:tickLblPos val="nextTo"/>
        <c:crossAx val="74495872"/>
        <c:crosses val="max"/>
        <c:crossBetween val="midCat"/>
      </c:valAx>
      <c:valAx>
        <c:axId val="74495872"/>
        <c:scaling>
          <c:orientation val="minMax"/>
        </c:scaling>
        <c:delete val="1"/>
        <c:axPos val="b"/>
        <c:numFmt formatCode="General" sourceLinked="1"/>
        <c:tickLblPos val="nextTo"/>
        <c:crossAx val="74494336"/>
        <c:crosses val="autoZero"/>
        <c:crossBetween val="midCat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3093254909401386"/>
          <c:y val="3.1226345325618909E-3"/>
          <c:w val="0.83407413097753025"/>
          <c:h val="0.95609828289536092"/>
        </c:manualLayout>
      </c:layout>
      <c:scatterChart>
        <c:scatterStyle val="smoothMarker"/>
        <c:ser>
          <c:idx val="0"/>
          <c:order val="0"/>
          <c:tx>
            <c:v>dimension x-y</c:v>
          </c:tx>
          <c:spPr>
            <a:ln w="15875">
              <a:solidFill>
                <a:schemeClr val="accent1"/>
              </a:solidFill>
            </a:ln>
          </c:spPr>
          <c:marker>
            <c:symbol val="picture"/>
            <c:spPr>
              <a:solidFill>
                <a:sysClr val="windowText" lastClr="000000"/>
              </a:solidFill>
            </c:spPr>
          </c:marker>
          <c:xVal>
            <c:numRef>
              <c:f>'B-1'!$BD$31:$BE$31</c:f>
              <c:numCache>
                <c:formatCode>General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xVal>
          <c:yVal>
            <c:numRef>
              <c:f>'B-1'!$BD$32:$BE$32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1"/>
        </c:ser>
        <c:ser>
          <c:idx val="1"/>
          <c:order val="1"/>
          <c:tx>
            <c:v>dimension x-y (2)</c:v>
          </c:tx>
          <c:spPr>
            <a:ln w="15875">
              <a:solidFill>
                <a:schemeClr val="tx2"/>
              </a:solidFill>
            </a:ln>
          </c:spPr>
          <c:marker>
            <c:symbol val="picture"/>
            <c:spPr>
              <a:solidFill>
                <a:sysClr val="windowText" lastClr="000000"/>
              </a:solidFill>
            </c:spPr>
          </c:marker>
          <c:xVal>
            <c:numRef>
              <c:f>'B-1'!$BE$31:$BF$31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'B-1'!$BE$32:$BF$32</c:f>
              <c:numCache>
                <c:formatCode>General</c:formatCode>
                <c:ptCount val="2"/>
                <c:pt idx="0">
                  <c:v>5</c:v>
                </c:pt>
                <c:pt idx="1">
                  <c:v>55</c:v>
                </c:pt>
              </c:numCache>
            </c:numRef>
          </c:yVal>
          <c:smooth val="1"/>
        </c:ser>
        <c:ser>
          <c:idx val="2"/>
          <c:order val="2"/>
          <c:tx>
            <c:v>dimension x-y(3)</c:v>
          </c:tx>
          <c:spPr>
            <a:ln w="15875">
              <a:solidFill>
                <a:schemeClr val="accent1"/>
              </a:solidFill>
            </a:ln>
          </c:spPr>
          <c:marker>
            <c:symbol val="picture"/>
            <c:spPr>
              <a:solidFill>
                <a:sysClr val="windowText" lastClr="000000"/>
              </a:solidFill>
            </c:spPr>
          </c:marker>
          <c:xVal>
            <c:numRef>
              <c:f>'B-1'!$BF$31:$BG$31</c:f>
              <c:numCache>
                <c:formatCode>General</c:formatCode>
                <c:ptCount val="2"/>
                <c:pt idx="0">
                  <c:v>20</c:v>
                </c:pt>
                <c:pt idx="1">
                  <c:v>0</c:v>
                </c:pt>
              </c:numCache>
            </c:numRef>
          </c:xVal>
          <c:yVal>
            <c:numRef>
              <c:f>'B-1'!$BF$32:$BG$32</c:f>
              <c:numCache>
                <c:formatCode>General</c:formatCode>
                <c:ptCount val="2"/>
                <c:pt idx="0">
                  <c:v>55</c:v>
                </c:pt>
                <c:pt idx="1">
                  <c:v>55</c:v>
                </c:pt>
              </c:numCache>
            </c:numRef>
          </c:yVal>
          <c:smooth val="1"/>
        </c:ser>
        <c:ser>
          <c:idx val="3"/>
          <c:order val="3"/>
          <c:tx>
            <c:v>dimension x-y(4)</c:v>
          </c:tx>
          <c:spPr>
            <a:ln w="19050">
              <a:solidFill>
                <a:schemeClr val="tx2"/>
              </a:solidFill>
            </a:ln>
          </c:spPr>
          <c:marker>
            <c:symbol val="picture"/>
            <c:spPr>
              <a:solidFill>
                <a:sysClr val="windowText" lastClr="000000"/>
              </a:solidFill>
            </c:spPr>
          </c:marker>
          <c:xVal>
            <c:numRef>
              <c:f>'B-1'!$BG$31:$BH$31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'B-1'!$BG$32:$BH$32</c:f>
              <c:numCache>
                <c:formatCode>General</c:formatCode>
                <c:ptCount val="2"/>
                <c:pt idx="0">
                  <c:v>55</c:v>
                </c:pt>
                <c:pt idx="1">
                  <c:v>5</c:v>
                </c:pt>
              </c:numCache>
            </c:numRef>
          </c:yVal>
          <c:smooth val="1"/>
        </c:ser>
        <c:ser>
          <c:idx val="4"/>
          <c:order val="4"/>
          <c:tx>
            <c:v>dimension y5</c:v>
          </c:tx>
          <c:spPr>
            <a:ln w="9525">
              <a:solidFill>
                <a:srgbClr val="F79646">
                  <a:lumMod val="50000"/>
                </a:srgbClr>
              </a:solidFill>
            </a:ln>
          </c:spPr>
          <c:marker>
            <c:symbol val="picture"/>
          </c:marker>
          <c:xVal>
            <c:numRef>
              <c:f>'B-1'!$BI$31:$BJ$31</c:f>
              <c:numCache>
                <c:formatCode>General</c:formatCode>
                <c:ptCount val="2"/>
                <c:pt idx="0">
                  <c:v>22</c:v>
                </c:pt>
                <c:pt idx="1">
                  <c:v>30</c:v>
                </c:pt>
              </c:numCache>
            </c:numRef>
          </c:xVal>
          <c:yVal>
            <c:numRef>
              <c:f>'B-1'!$BI$32:$BJ$32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1"/>
        </c:ser>
        <c:ser>
          <c:idx val="5"/>
          <c:order val="5"/>
          <c:tx>
            <c:v>dimension y6</c:v>
          </c:tx>
          <c:spPr>
            <a:ln w="9525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ysClr val="windowText" lastClr="000000"/>
              </a:solidFill>
            </c:spPr>
          </c:marker>
          <c:xVal>
            <c:numRef>
              <c:f>'B-1'!$BK$31:$BL$31</c:f>
              <c:numCache>
                <c:formatCode>General</c:formatCode>
                <c:ptCount val="2"/>
                <c:pt idx="0">
                  <c:v>28</c:v>
                </c:pt>
                <c:pt idx="1">
                  <c:v>28</c:v>
                </c:pt>
              </c:numCache>
            </c:numRef>
          </c:xVal>
          <c:yVal>
            <c:numRef>
              <c:f>'B-1'!$BK$32:$BL$32</c:f>
              <c:numCache>
                <c:formatCode>General</c:formatCode>
                <c:ptCount val="2"/>
                <c:pt idx="0">
                  <c:v>5</c:v>
                </c:pt>
                <c:pt idx="1">
                  <c:v>55</c:v>
                </c:pt>
              </c:numCache>
            </c:numRef>
          </c:yVal>
          <c:smooth val="1"/>
        </c:ser>
        <c:ser>
          <c:idx val="6"/>
          <c:order val="6"/>
          <c:tx>
            <c:v>dimension y7</c:v>
          </c:tx>
          <c:spPr>
            <a:ln w="9525">
              <a:solidFill>
                <a:srgbClr val="F79646">
                  <a:lumMod val="50000"/>
                </a:srgbClr>
              </a:solidFill>
            </a:ln>
          </c:spPr>
          <c:marker>
            <c:symbol val="picture"/>
            <c:spPr>
              <a:solidFill>
                <a:sysClr val="windowText" lastClr="000000"/>
              </a:solidFill>
            </c:spPr>
          </c:marker>
          <c:xVal>
            <c:numRef>
              <c:f>'B-1'!$BI$33:$BJ$33</c:f>
              <c:numCache>
                <c:formatCode>General</c:formatCode>
                <c:ptCount val="2"/>
                <c:pt idx="0">
                  <c:v>22</c:v>
                </c:pt>
                <c:pt idx="1">
                  <c:v>30</c:v>
                </c:pt>
              </c:numCache>
            </c:numRef>
          </c:xVal>
          <c:yVal>
            <c:numRef>
              <c:f>'B-1'!$BI$34:$BJ$34</c:f>
              <c:numCache>
                <c:formatCode>General</c:formatCode>
                <c:ptCount val="2"/>
                <c:pt idx="0">
                  <c:v>55</c:v>
                </c:pt>
                <c:pt idx="1">
                  <c:v>55</c:v>
                </c:pt>
              </c:numCache>
            </c:numRef>
          </c:yVal>
          <c:smooth val="1"/>
        </c:ser>
        <c:ser>
          <c:idx val="7"/>
          <c:order val="7"/>
          <c:tx>
            <c:v>dimension x5</c:v>
          </c:tx>
          <c:spPr>
            <a:ln w="9525">
              <a:solidFill>
                <a:sysClr val="windowText" lastClr="000000"/>
              </a:solidFill>
            </a:ln>
          </c:spPr>
          <c:marker>
            <c:symbol val="circle"/>
            <c:size val="3"/>
            <c:spPr>
              <a:solidFill>
                <a:sysClr val="windowText" lastClr="000000"/>
              </a:solidFill>
            </c:spPr>
          </c:marker>
          <c:xVal>
            <c:numRef>
              <c:f>'B-1'!$BT$31:$BU$31</c:f>
              <c:numCache>
                <c:formatCode>General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xVal>
          <c:yVal>
            <c:numRef>
              <c:f>'B-1'!$BT$32:$BU$32</c:f>
              <c:numCache>
                <c:formatCode>General</c:formatCode>
                <c:ptCount val="2"/>
                <c:pt idx="0">
                  <c:v>65</c:v>
                </c:pt>
                <c:pt idx="1">
                  <c:v>65</c:v>
                </c:pt>
              </c:numCache>
            </c:numRef>
          </c:yVal>
          <c:smooth val="1"/>
        </c:ser>
        <c:ser>
          <c:idx val="8"/>
          <c:order val="8"/>
          <c:tx>
            <c:v>dimension x6</c:v>
          </c:tx>
          <c:spPr>
            <a:ln w="9525">
              <a:solidFill>
                <a:sysClr val="windowText" lastClr="000000"/>
              </a:solidFill>
            </a:ln>
          </c:spPr>
          <c:marker>
            <c:symbol val="picture"/>
            <c:spPr>
              <a:solidFill>
                <a:sysClr val="windowText" lastClr="000000"/>
              </a:solidFill>
            </c:spPr>
          </c:marker>
          <c:xVal>
            <c:numRef>
              <c:f>'B-1'!$BV$31:$BW$31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'B-1'!$BV$32:$BW$32</c:f>
              <c:numCache>
                <c:formatCode>General</c:formatCode>
                <c:ptCount val="2"/>
                <c:pt idx="0">
                  <c:v>57</c:v>
                </c:pt>
                <c:pt idx="1">
                  <c:v>67</c:v>
                </c:pt>
              </c:numCache>
            </c:numRef>
          </c:yVal>
          <c:smooth val="1"/>
        </c:ser>
        <c:ser>
          <c:idx val="9"/>
          <c:order val="9"/>
          <c:tx>
            <c:v>dimension x7</c:v>
          </c:tx>
          <c:spPr>
            <a:ln w="9525">
              <a:solidFill>
                <a:sysClr val="windowText" lastClr="000000"/>
              </a:solidFill>
            </a:ln>
          </c:spPr>
          <c:marker>
            <c:symbol val="picture"/>
            <c:spPr>
              <a:solidFill>
                <a:sysClr val="windowText" lastClr="000000"/>
              </a:solidFill>
            </c:spPr>
          </c:marker>
          <c:xVal>
            <c:numRef>
              <c:f>'B-1'!$BT$33:$BU$33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'B-1'!$BT$34:$BU$34</c:f>
              <c:numCache>
                <c:formatCode>General</c:formatCode>
                <c:ptCount val="2"/>
                <c:pt idx="0">
                  <c:v>57</c:v>
                </c:pt>
                <c:pt idx="1">
                  <c:v>67</c:v>
                </c:pt>
              </c:numCache>
            </c:numRef>
          </c:yVal>
          <c:smooth val="1"/>
        </c:ser>
        <c:ser>
          <c:idx val="10"/>
          <c:order val="10"/>
          <c:tx>
            <c:v>str1</c:v>
          </c:tx>
          <c:spPr>
            <a:ln w="12700">
              <a:solidFill>
                <a:srgbClr val="F79646">
                  <a:lumMod val="50000"/>
                </a:srgbClr>
              </a:solidFill>
            </a:ln>
          </c:spPr>
          <c:marker>
            <c:symbol val="picture"/>
            <c:spPr>
              <a:solidFill>
                <a:sysClr val="windowText" lastClr="000000"/>
              </a:solidFill>
            </c:spPr>
          </c:marker>
          <c:xVal>
            <c:numRef>
              <c:f>'B-1'!$BO$34:$BP$34</c:f>
              <c:numCache>
                <c:formatCode>General</c:formatCode>
                <c:ptCount val="2"/>
                <c:pt idx="0">
                  <c:v>2.5</c:v>
                </c:pt>
                <c:pt idx="1">
                  <c:v>17.5</c:v>
                </c:pt>
              </c:numCache>
            </c:numRef>
          </c:xVal>
          <c:yVal>
            <c:numRef>
              <c:f>'B-1'!$BO$35:$BP$35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yVal>
          <c:smooth val="1"/>
        </c:ser>
        <c:ser>
          <c:idx val="11"/>
          <c:order val="11"/>
          <c:tx>
            <c:v>str2</c:v>
          </c:tx>
          <c:spPr>
            <a:ln w="12700">
              <a:solidFill>
                <a:srgbClr val="F79646">
                  <a:lumMod val="50000"/>
                </a:srgbClr>
              </a:solidFill>
            </a:ln>
          </c:spPr>
          <c:marker>
            <c:symbol val="picture"/>
            <c:spPr>
              <a:solidFill>
                <a:schemeClr val="accent6">
                  <a:lumMod val="50000"/>
                </a:schemeClr>
              </a:solidFill>
            </c:spPr>
          </c:marker>
          <c:xVal>
            <c:numRef>
              <c:f>'B-1'!$BP$34:$BQ$34</c:f>
              <c:numCache>
                <c:formatCode>General</c:formatCode>
                <c:ptCount val="2"/>
                <c:pt idx="0">
                  <c:v>17.5</c:v>
                </c:pt>
                <c:pt idx="1">
                  <c:v>17.5</c:v>
                </c:pt>
              </c:numCache>
            </c:numRef>
          </c:xVal>
          <c:yVal>
            <c:numRef>
              <c:f>'B-1'!$BP$35:$BQ$35</c:f>
              <c:numCache>
                <c:formatCode>General</c:formatCode>
                <c:ptCount val="2"/>
                <c:pt idx="0">
                  <c:v>8</c:v>
                </c:pt>
                <c:pt idx="1">
                  <c:v>52.5</c:v>
                </c:pt>
              </c:numCache>
            </c:numRef>
          </c:yVal>
          <c:smooth val="1"/>
        </c:ser>
        <c:ser>
          <c:idx val="12"/>
          <c:order val="12"/>
          <c:tx>
            <c:v>str3</c:v>
          </c:tx>
          <c:spPr>
            <a:ln w="12700">
              <a:solidFill>
                <a:srgbClr val="F79646">
                  <a:lumMod val="50000"/>
                </a:srgbClr>
              </a:solidFill>
            </a:ln>
          </c:spPr>
          <c:marker>
            <c:symbol val="picture"/>
            <c:spPr>
              <a:solidFill>
                <a:sysClr val="windowText" lastClr="000000"/>
              </a:solidFill>
            </c:spPr>
          </c:marker>
          <c:xVal>
            <c:numRef>
              <c:f>'B-1'!$BQ$34:$BR$34</c:f>
              <c:numCache>
                <c:formatCode>General</c:formatCode>
                <c:ptCount val="2"/>
                <c:pt idx="0">
                  <c:v>17.5</c:v>
                </c:pt>
                <c:pt idx="1">
                  <c:v>2.5</c:v>
                </c:pt>
              </c:numCache>
            </c:numRef>
          </c:xVal>
          <c:yVal>
            <c:numRef>
              <c:f>'B-1'!$BQ$35:$BR$35</c:f>
              <c:numCache>
                <c:formatCode>General</c:formatCode>
                <c:ptCount val="2"/>
                <c:pt idx="0">
                  <c:v>52.5</c:v>
                </c:pt>
                <c:pt idx="1">
                  <c:v>52.5</c:v>
                </c:pt>
              </c:numCache>
            </c:numRef>
          </c:yVal>
          <c:smooth val="1"/>
        </c:ser>
        <c:ser>
          <c:idx val="13"/>
          <c:order val="13"/>
          <c:tx>
            <c:v>str4</c:v>
          </c:tx>
          <c:spPr>
            <a:ln w="12700">
              <a:solidFill>
                <a:srgbClr val="F79646">
                  <a:lumMod val="50000"/>
                </a:srgbClr>
              </a:solidFill>
            </a:ln>
          </c:spPr>
          <c:marker>
            <c:symbol val="picture"/>
            <c:spPr>
              <a:solidFill>
                <a:srgbClr val="F79646">
                  <a:lumMod val="50000"/>
                </a:srgbClr>
              </a:solidFill>
            </c:spPr>
          </c:marker>
          <c:xVal>
            <c:numRef>
              <c:f>'B-1'!$BR$34:$BS$34</c:f>
              <c:numCache>
                <c:formatCode>General</c:formatCode>
                <c:ptCount val="2"/>
                <c:pt idx="0">
                  <c:v>2.5</c:v>
                </c:pt>
                <c:pt idx="1">
                  <c:v>2.5</c:v>
                </c:pt>
              </c:numCache>
            </c:numRef>
          </c:xVal>
          <c:yVal>
            <c:numRef>
              <c:f>'B-1'!$BR$35:$BS$35</c:f>
              <c:numCache>
                <c:formatCode>General</c:formatCode>
                <c:ptCount val="2"/>
                <c:pt idx="0">
                  <c:v>52.5</c:v>
                </c:pt>
                <c:pt idx="1">
                  <c:v>8</c:v>
                </c:pt>
              </c:numCache>
            </c:numRef>
          </c:yVal>
          <c:smooth val="1"/>
        </c:ser>
        <c:ser>
          <c:idx val="15"/>
          <c:order val="14"/>
          <c:tx>
            <c:v>steel 2 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'B-1'!$BJ$44:$BM$44</c:f>
              <c:numCache>
                <c:formatCode>General</c:formatCode>
                <c:ptCount val="4"/>
                <c:pt idx="0">
                  <c:v>0</c:v>
                </c:pt>
                <c:pt idx="3">
                  <c:v>0</c:v>
                </c:pt>
              </c:numCache>
            </c:numRef>
          </c:xVal>
          <c:yVal>
            <c:numRef>
              <c:f>'B-1'!$BJ$45:$BM$45</c:f>
              <c:numCache>
                <c:formatCode>General</c:formatCode>
                <c:ptCount val="4"/>
                <c:pt idx="0">
                  <c:v>0</c:v>
                </c:pt>
                <c:pt idx="3">
                  <c:v>0</c:v>
                </c:pt>
              </c:numCache>
            </c:numRef>
          </c:yVal>
          <c:smooth val="1"/>
        </c:ser>
        <c:ser>
          <c:idx val="16"/>
          <c:order val="15"/>
          <c:tx>
            <c:v>steel 3 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'B-1'!$BI$51:$BM$51</c:f>
              <c:numCache>
                <c:formatCode>General</c:formatCode>
                <c:ptCount val="5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'B-1'!$BI$52:$BM$52</c:f>
              <c:numCache>
                <c:formatCode>General</c:formatCode>
                <c:ptCount val="5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17"/>
          <c:order val="16"/>
          <c:tx>
            <c:v>steel 4 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'B-1'!$BC$51:$BG$51</c:f>
              <c:numCache>
                <c:formatCode>General</c:formatCode>
                <c:ptCount val="5"/>
                <c:pt idx="0">
                  <c:v>3</c:v>
                </c:pt>
                <c:pt idx="1">
                  <c:v>7.6</c:v>
                </c:pt>
                <c:pt idx="3">
                  <c:v>12.4</c:v>
                </c:pt>
                <c:pt idx="4">
                  <c:v>17</c:v>
                </c:pt>
              </c:numCache>
            </c:numRef>
          </c:xVal>
          <c:yVal>
            <c:numRef>
              <c:f>'B-1'!$BC$52:$BG$52</c:f>
              <c:numCache>
                <c:formatCode>General</c:formatCode>
                <c:ptCount val="5"/>
                <c:pt idx="0">
                  <c:v>8.6999999999999993</c:v>
                </c:pt>
                <c:pt idx="1">
                  <c:v>8.6999999999999993</c:v>
                </c:pt>
                <c:pt idx="3">
                  <c:v>8.6999999999999993</c:v>
                </c:pt>
                <c:pt idx="4">
                  <c:v>8.6999999999999993</c:v>
                </c:pt>
              </c:numCache>
            </c:numRef>
          </c:yVal>
          <c:smooth val="1"/>
        </c:ser>
        <c:ser>
          <c:idx val="18"/>
          <c:order val="17"/>
          <c:tx>
            <c:v>steel 5 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xVal>
            <c:numRef>
              <c:f>'B-1'!$BC$39:$BG$39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'B-1'!$BC$40:$BG$40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19"/>
          <c:order val="18"/>
          <c:tx>
            <c:v>steel 6 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'B-1'!$BI$54:$BM$54</c:f>
              <c:numCache>
                <c:formatCode>General</c:formatCode>
                <c:ptCount val="5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'B-1'!$BI$55:$BM$55</c:f>
              <c:numCache>
                <c:formatCode>General</c:formatCode>
                <c:ptCount val="5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20"/>
          <c:order val="19"/>
          <c:tx>
            <c:v>steel 7 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'B-1'!$BI$60:$BM$60</c:f>
              <c:numCache>
                <c:formatCode>General</c:formatCode>
                <c:ptCount val="5"/>
                <c:pt idx="0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'B-1'!$BI$61:$BM$61</c:f>
              <c:numCache>
                <c:formatCode>General</c:formatCode>
                <c:ptCount val="5"/>
                <c:pt idx="0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21"/>
          <c:order val="20"/>
          <c:tx>
            <c:v>steel 8 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'B-1'!$BC$54:$BG$54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'B-1'!$BC$55:$BG$55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22"/>
          <c:order val="21"/>
          <c:tx>
            <c:v>steel 9 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'B-1'!$BI$57:$BM$57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'B-1'!$BI$58:$BM$58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23"/>
          <c:order val="22"/>
          <c:tx>
            <c:v>steel 10 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'B-1'!$BC$44:$BG$44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'B-1'!$BC$45:$BG$45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24"/>
          <c:order val="23"/>
          <c:tx>
            <c:v>steel 11 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'B-1'!$BJ$40:$BM$40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'B-1'!$BJ$41:$BM$41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1"/>
        </c:ser>
        <c:ser>
          <c:idx val="25"/>
          <c:order val="24"/>
          <c:tx>
            <c:v>steel 12 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'B-1'!$BC$57:$BG$57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'B-1'!$BC$58:$BG$58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26"/>
          <c:order val="25"/>
          <c:tx>
            <c:v>steel 13 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'B-1'!$BJ$47:$BL$47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'B-1'!$BJ$48:$BL$48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1"/>
        </c:ser>
        <c:ser>
          <c:idx val="27"/>
          <c:order val="26"/>
          <c:tx>
            <c:v>steel 14 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'B-1'!$BJ$37:$BM$37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'B-1'!$BJ$38:$BM$38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1"/>
        </c:ser>
        <c:ser>
          <c:idx val="28"/>
          <c:order val="27"/>
          <c:tx>
            <c:v>steel 15 d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'B-1'!$BC$48:$BG$48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'B-1'!$BC$49:$BG$49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29"/>
          <c:order val="28"/>
          <c:tx>
            <c:v>steel 2 t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'B-1'!$BU$44:$BX$44</c:f>
              <c:numCache>
                <c:formatCode>General</c:formatCode>
                <c:ptCount val="4"/>
                <c:pt idx="0">
                  <c:v>0</c:v>
                </c:pt>
                <c:pt idx="3">
                  <c:v>0</c:v>
                </c:pt>
              </c:numCache>
            </c:numRef>
          </c:xVal>
          <c:yVal>
            <c:numRef>
              <c:f>'B-1'!$BU$45:$BX$45</c:f>
              <c:numCache>
                <c:formatCode>General</c:formatCode>
                <c:ptCount val="4"/>
                <c:pt idx="0">
                  <c:v>0</c:v>
                </c:pt>
                <c:pt idx="3">
                  <c:v>0</c:v>
                </c:pt>
              </c:numCache>
            </c:numRef>
          </c:yVal>
          <c:smooth val="1"/>
        </c:ser>
        <c:ser>
          <c:idx val="30"/>
          <c:order val="29"/>
          <c:tx>
            <c:v>steel 3 t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'B-1'!$BT$51:$BX$51</c:f>
              <c:numCache>
                <c:formatCode>General</c:formatCode>
                <c:ptCount val="5"/>
                <c:pt idx="0">
                  <c:v>3</c:v>
                </c:pt>
                <c:pt idx="2">
                  <c:v>10</c:v>
                </c:pt>
                <c:pt idx="4">
                  <c:v>17</c:v>
                </c:pt>
              </c:numCache>
            </c:numRef>
          </c:xVal>
          <c:yVal>
            <c:numRef>
              <c:f>'B-1'!$BT$52:$BX$52</c:f>
              <c:numCache>
                <c:formatCode>General</c:formatCode>
                <c:ptCount val="5"/>
                <c:pt idx="0">
                  <c:v>52</c:v>
                </c:pt>
                <c:pt idx="2">
                  <c:v>52</c:v>
                </c:pt>
                <c:pt idx="4">
                  <c:v>52</c:v>
                </c:pt>
              </c:numCache>
            </c:numRef>
          </c:yVal>
          <c:smooth val="1"/>
        </c:ser>
        <c:ser>
          <c:idx val="31"/>
          <c:order val="30"/>
          <c:tx>
            <c:v>steel 4 t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'B-1'!$BN$51:$BR$51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'B-1'!$BN$52:$BR$52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32"/>
          <c:order val="31"/>
          <c:tx>
            <c:v>steel 5 t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'B-1'!$BN$39:$BR$39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'B-1'!$BN$40:$BR$40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33"/>
          <c:order val="32"/>
          <c:tx>
            <c:v>steel 6 t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'B-1'!$BT$54:$BX$54</c:f>
              <c:numCache>
                <c:formatCode>General</c:formatCode>
                <c:ptCount val="5"/>
                <c:pt idx="0">
                  <c:v>3</c:v>
                </c:pt>
                <c:pt idx="2">
                  <c:v>10</c:v>
                </c:pt>
                <c:pt idx="4">
                  <c:v>17</c:v>
                </c:pt>
              </c:numCache>
            </c:numRef>
          </c:xVal>
          <c:yVal>
            <c:numRef>
              <c:f>'B-1'!$BT$55:$BX$55</c:f>
              <c:numCache>
                <c:formatCode>General</c:formatCode>
                <c:ptCount val="5"/>
                <c:pt idx="0">
                  <c:v>49</c:v>
                </c:pt>
                <c:pt idx="2">
                  <c:v>49</c:v>
                </c:pt>
                <c:pt idx="4">
                  <c:v>49</c:v>
                </c:pt>
              </c:numCache>
            </c:numRef>
          </c:yVal>
          <c:smooth val="1"/>
        </c:ser>
        <c:ser>
          <c:idx val="34"/>
          <c:order val="33"/>
          <c:tx>
            <c:v>steel 7 t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'B-1'!$BT$60:$BX$60</c:f>
              <c:numCache>
                <c:formatCode>General</c:formatCode>
                <c:ptCount val="5"/>
                <c:pt idx="0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'B-1'!$BT$61:$BX$61</c:f>
              <c:numCache>
                <c:formatCode>General</c:formatCode>
                <c:ptCount val="5"/>
                <c:pt idx="0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35"/>
          <c:order val="34"/>
          <c:tx>
            <c:v>steel 8 t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'B-1'!$BN$54:$BR$54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'B-1'!$BN$55:$BR$55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36"/>
          <c:order val="35"/>
          <c:tx>
            <c:v>steel 9 t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'B-1'!$BT$57:$BX$57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'B-1'!$BT$58:$BX$58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37"/>
          <c:order val="36"/>
          <c:tx>
            <c:v>steel 10 t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'B-1'!$BN$44:$BR$44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'B-1'!$BN$45:$BR$45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38"/>
          <c:order val="37"/>
          <c:tx>
            <c:v>steel 11 t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'B-1'!$BU$40:$BX$40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'B-1'!$BU$41:$BX$41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1"/>
        </c:ser>
        <c:ser>
          <c:idx val="39"/>
          <c:order val="38"/>
          <c:tx>
            <c:v>steel 12 t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'B-1'!$BN$57:$BR$57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'B-1'!$BN$58:$BR$58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40"/>
          <c:order val="39"/>
          <c:tx>
            <c:v>steel 13 t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'B-1'!$BU$47:$BW$47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'B-1'!$BU$48:$BW$48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1"/>
        </c:ser>
        <c:ser>
          <c:idx val="41"/>
          <c:order val="40"/>
          <c:tx>
            <c:v>steel 14 t</c:v>
          </c:tx>
          <c:spPr>
            <a:ln w="0"/>
          </c:spPr>
          <c:marker>
            <c:spPr>
              <a:noFill/>
            </c:spPr>
          </c:marker>
          <c:xVal>
            <c:numRef>
              <c:f>'B-1'!$BU$37:$BX$37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'B-1'!$BU$38:$BX$38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1"/>
        </c:ser>
        <c:ser>
          <c:idx val="42"/>
          <c:order val="41"/>
          <c:tx>
            <c:v>steel 15 t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'B-1'!$BN$48:$BR$48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'B-1'!$BN$49:$BR$49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axId val="74902912"/>
        <c:axId val="74974720"/>
      </c:scatterChart>
      <c:valAx>
        <c:axId val="74902912"/>
        <c:scaling>
          <c:orientation val="minMax"/>
        </c:scaling>
        <c:delete val="1"/>
        <c:axPos val="b"/>
        <c:numFmt formatCode="General" sourceLinked="1"/>
        <c:tickLblPos val="nextTo"/>
        <c:crossAx val="74974720"/>
        <c:crosses val="autoZero"/>
        <c:crossBetween val="midCat"/>
      </c:valAx>
      <c:valAx>
        <c:axId val="74974720"/>
        <c:scaling>
          <c:orientation val="minMax"/>
        </c:scaling>
        <c:delete val="1"/>
        <c:axPos val="l"/>
        <c:numFmt formatCode="General" sourceLinked="1"/>
        <c:tickLblPos val="nextTo"/>
        <c:crossAx val="7490291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196850</xdr:colOff>
      <xdr:row>59</xdr:row>
      <xdr:rowOff>69850</xdr:rowOff>
    </xdr:from>
    <xdr:to>
      <xdr:col>3</xdr:col>
      <xdr:colOff>241300</xdr:colOff>
      <xdr:row>72</xdr:row>
      <xdr:rowOff>38100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60</xdr:row>
      <xdr:rowOff>6351</xdr:rowOff>
    </xdr:from>
    <xdr:to>
      <xdr:col>2</xdr:col>
      <xdr:colOff>82550</xdr:colOff>
      <xdr:row>61</xdr:row>
      <xdr:rowOff>6351</xdr:rowOff>
    </xdr:to>
    <xdr:sp macro="" textlink="$J$22">
      <xdr:nvSpPr>
        <xdr:cNvPr id="9" name="Rectangle 3"/>
        <xdr:cNvSpPr/>
      </xdr:nvSpPr>
      <xdr:spPr>
        <a:xfrm>
          <a:off x="469900" y="10623551"/>
          <a:ext cx="488950" cy="1841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E6D3DBB-E7E4-4713-9C57-8760DF5D0BF2}" type="TxLink">
            <a:rPr lang="th-TH" sz="1100">
              <a:solidFill>
                <a:schemeClr val="tx1"/>
              </a:solidFill>
            </a:rPr>
            <a:pPr algn="ctr"/>
            <a:t>0.20 </a:t>
          </a:fld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234950</xdr:colOff>
      <xdr:row>67</xdr:row>
      <xdr:rowOff>12700</xdr:rowOff>
    </xdr:from>
    <xdr:to>
      <xdr:col>5</xdr:col>
      <xdr:colOff>38100</xdr:colOff>
      <xdr:row>68</xdr:row>
      <xdr:rowOff>88900</xdr:rowOff>
    </xdr:to>
    <xdr:sp macro="" textlink="">
      <xdr:nvSpPr>
        <xdr:cNvPr id="11" name="สี่เหลี่ยมผืนผ้า 10"/>
        <xdr:cNvSpPr/>
      </xdr:nvSpPr>
      <xdr:spPr>
        <a:xfrm>
          <a:off x="2381250" y="10877550"/>
          <a:ext cx="374650" cy="209550"/>
        </a:xfrm>
        <a:prstGeom prst="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 b="0" i="0" cap="none" spc="0" baseline="0">
            <a:ln w="0">
              <a:solidFill>
                <a:schemeClr val="tx1"/>
              </a:solidFill>
              <a:prstDash val="solid"/>
            </a:ln>
            <a:noFill/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2</xdr:col>
      <xdr:colOff>514350</xdr:colOff>
      <xdr:row>66</xdr:row>
      <xdr:rowOff>69850</xdr:rowOff>
    </xdr:from>
    <xdr:to>
      <xdr:col>3</xdr:col>
      <xdr:colOff>317500</xdr:colOff>
      <xdr:row>67</xdr:row>
      <xdr:rowOff>139700</xdr:rowOff>
    </xdr:to>
    <xdr:sp macro="" textlink="$J$23">
      <xdr:nvSpPr>
        <xdr:cNvPr id="12" name="Rectangle 3"/>
        <xdr:cNvSpPr/>
      </xdr:nvSpPr>
      <xdr:spPr>
        <a:xfrm>
          <a:off x="1390650" y="11252200"/>
          <a:ext cx="469900" cy="254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2CDA9478-71E4-4DA7-B797-F1A76EDC58D5}" type="TxLink">
            <a:rPr lang="th-TH" sz="1100">
              <a:solidFill>
                <a:schemeClr val="tx1"/>
              </a:solidFill>
            </a:rPr>
            <a:pPr algn="ctr"/>
            <a:t>0.40 </a:t>
          </a:fld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285750</xdr:colOff>
      <xdr:row>59</xdr:row>
      <xdr:rowOff>44450</xdr:rowOff>
    </xdr:from>
    <xdr:to>
      <xdr:col>8</xdr:col>
      <xdr:colOff>323850</xdr:colOff>
      <xdr:row>73</xdr:row>
      <xdr:rowOff>12700</xdr:rowOff>
    </xdr:to>
    <xdr:graphicFrame macro="">
      <xdr:nvGraphicFramePr>
        <xdr:cNvPr id="14" name="แผนภูมิ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501650</xdr:colOff>
      <xdr:row>59</xdr:row>
      <xdr:rowOff>196850</xdr:rowOff>
    </xdr:from>
    <xdr:to>
      <xdr:col>6</xdr:col>
      <xdr:colOff>412750</xdr:colOff>
      <xdr:row>61</xdr:row>
      <xdr:rowOff>6350</xdr:rowOff>
    </xdr:to>
    <xdr:sp macro="" textlink="$J$22">
      <xdr:nvSpPr>
        <xdr:cNvPr id="15" name="Rectangle 3"/>
        <xdr:cNvSpPr/>
      </xdr:nvSpPr>
      <xdr:spPr>
        <a:xfrm>
          <a:off x="3175000" y="10198100"/>
          <a:ext cx="482600" cy="215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E6D3DBB-E7E4-4713-9C57-8760DF5D0BF2}" type="TxLink">
            <a:rPr lang="th-TH" sz="1100">
              <a:solidFill>
                <a:schemeClr val="tx1"/>
              </a:solidFill>
            </a:rPr>
            <a:pPr algn="ctr"/>
            <a:t>0.20 </a:t>
          </a:fld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209550</xdr:colOff>
      <xdr:row>66</xdr:row>
      <xdr:rowOff>107950</xdr:rowOff>
    </xdr:from>
    <xdr:to>
      <xdr:col>8</xdr:col>
      <xdr:colOff>330200</xdr:colOff>
      <xdr:row>68</xdr:row>
      <xdr:rowOff>25400</xdr:rowOff>
    </xdr:to>
    <xdr:sp macro="" textlink="$J$23">
      <xdr:nvSpPr>
        <xdr:cNvPr id="18" name="Rectangle 3"/>
        <xdr:cNvSpPr/>
      </xdr:nvSpPr>
      <xdr:spPr>
        <a:xfrm>
          <a:off x="4044950" y="11290300"/>
          <a:ext cx="463550" cy="292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2CDA9478-71E4-4DA7-B797-F1A76EDC58D5}" type="TxLink">
            <a:rPr lang="th-TH" sz="1100">
              <a:solidFill>
                <a:schemeClr val="tx1"/>
              </a:solidFill>
            </a:rPr>
            <a:pPr algn="ctr"/>
            <a:t>0.40 </a:t>
          </a:fld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241300</xdr:colOff>
      <xdr:row>66</xdr:row>
      <xdr:rowOff>152400</xdr:rowOff>
    </xdr:from>
    <xdr:to>
      <xdr:col>9</xdr:col>
      <xdr:colOff>6350</xdr:colOff>
      <xdr:row>67</xdr:row>
      <xdr:rowOff>146050</xdr:rowOff>
    </xdr:to>
    <xdr:sp macro="" textlink="">
      <xdr:nvSpPr>
        <xdr:cNvPr id="25" name="สี่เหลี่ยมผืนผ้า 24"/>
        <xdr:cNvSpPr/>
      </xdr:nvSpPr>
      <xdr:spPr>
        <a:xfrm>
          <a:off x="4419600" y="11334750"/>
          <a:ext cx="336550" cy="1778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m.</a:t>
          </a:r>
        </a:p>
      </xdr:txBody>
    </xdr:sp>
    <xdr:clientData/>
  </xdr:twoCellAnchor>
  <xdr:twoCellAnchor>
    <xdr:from>
      <xdr:col>1</xdr:col>
      <xdr:colOff>622300</xdr:colOff>
      <xdr:row>60</xdr:row>
      <xdr:rowOff>38100</xdr:rowOff>
    </xdr:from>
    <xdr:to>
      <xdr:col>2</xdr:col>
      <xdr:colOff>342900</xdr:colOff>
      <xdr:row>60</xdr:row>
      <xdr:rowOff>158750</xdr:rowOff>
    </xdr:to>
    <xdr:sp macro="" textlink="">
      <xdr:nvSpPr>
        <xdr:cNvPr id="26" name="สี่เหลี่ยมผืนผ้า 25"/>
        <xdr:cNvSpPr/>
      </xdr:nvSpPr>
      <xdr:spPr>
        <a:xfrm>
          <a:off x="850900" y="10655300"/>
          <a:ext cx="368300" cy="1206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m.</a:t>
          </a:r>
        </a:p>
      </xdr:txBody>
    </xdr:sp>
    <xdr:clientData/>
  </xdr:twoCellAnchor>
  <xdr:twoCellAnchor>
    <xdr:from>
      <xdr:col>6</xdr:col>
      <xdr:colOff>330200</xdr:colOff>
      <xdr:row>60</xdr:row>
      <xdr:rowOff>0</xdr:rowOff>
    </xdr:from>
    <xdr:to>
      <xdr:col>7</xdr:col>
      <xdr:colOff>88900</xdr:colOff>
      <xdr:row>61</xdr:row>
      <xdr:rowOff>12700</xdr:rowOff>
    </xdr:to>
    <xdr:sp macro="" textlink="">
      <xdr:nvSpPr>
        <xdr:cNvPr id="27" name="สี่เหลี่ยมผืนผ้า 26"/>
        <xdr:cNvSpPr/>
      </xdr:nvSpPr>
      <xdr:spPr>
        <a:xfrm>
          <a:off x="3575050" y="10204450"/>
          <a:ext cx="349250" cy="2159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m.</a:t>
          </a:r>
        </a:p>
      </xdr:txBody>
    </xdr:sp>
    <xdr:clientData/>
  </xdr:twoCellAnchor>
  <xdr:twoCellAnchor>
    <xdr:from>
      <xdr:col>3</xdr:col>
      <xdr:colOff>228600</xdr:colOff>
      <xdr:row>66</xdr:row>
      <xdr:rowOff>120650</xdr:rowOff>
    </xdr:from>
    <xdr:to>
      <xdr:col>3</xdr:col>
      <xdr:colOff>431800</xdr:colOff>
      <xdr:row>67</xdr:row>
      <xdr:rowOff>63500</xdr:rowOff>
    </xdr:to>
    <xdr:sp macro="" textlink="">
      <xdr:nvSpPr>
        <xdr:cNvPr id="28" name="สี่เหลี่ยมผืนผ้า 27"/>
        <xdr:cNvSpPr/>
      </xdr:nvSpPr>
      <xdr:spPr>
        <a:xfrm>
          <a:off x="1771650" y="11760200"/>
          <a:ext cx="203200" cy="1270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m</a:t>
          </a:r>
        </a:p>
      </xdr:txBody>
    </xdr:sp>
    <xdr:clientData/>
  </xdr:twoCellAnchor>
  <xdr:twoCellAnchor>
    <xdr:from>
      <xdr:col>1</xdr:col>
      <xdr:colOff>146050</xdr:colOff>
      <xdr:row>71</xdr:row>
      <xdr:rowOff>76200</xdr:rowOff>
    </xdr:from>
    <xdr:to>
      <xdr:col>2</xdr:col>
      <xdr:colOff>247650</xdr:colOff>
      <xdr:row>73</xdr:row>
      <xdr:rowOff>114300</xdr:rowOff>
    </xdr:to>
    <xdr:sp macro="" textlink="">
      <xdr:nvSpPr>
        <xdr:cNvPr id="29" name="สี่เหลี่ยมผืนผ้า 28"/>
        <xdr:cNvSpPr/>
      </xdr:nvSpPr>
      <xdr:spPr>
        <a:xfrm>
          <a:off x="374650" y="12141200"/>
          <a:ext cx="749300" cy="3048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 u="sng"/>
            <a:t>Middle</a:t>
          </a:r>
        </a:p>
      </xdr:txBody>
    </xdr:sp>
    <xdr:clientData/>
  </xdr:twoCellAnchor>
  <xdr:twoCellAnchor>
    <xdr:from>
      <xdr:col>5</xdr:col>
      <xdr:colOff>342900</xdr:colOff>
      <xdr:row>71</xdr:row>
      <xdr:rowOff>127000</xdr:rowOff>
    </xdr:from>
    <xdr:to>
      <xdr:col>7</xdr:col>
      <xdr:colOff>107950</xdr:colOff>
      <xdr:row>73</xdr:row>
      <xdr:rowOff>82550</xdr:rowOff>
    </xdr:to>
    <xdr:sp macro="" textlink="">
      <xdr:nvSpPr>
        <xdr:cNvPr id="30" name="สี่เหลี่ยมผืนผ้า 29"/>
        <xdr:cNvSpPr/>
      </xdr:nvSpPr>
      <xdr:spPr>
        <a:xfrm>
          <a:off x="3016250" y="12192000"/>
          <a:ext cx="927100" cy="222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 u="sng"/>
            <a:t>Support</a:t>
          </a:r>
          <a:endParaRPr lang="th-TH" sz="1100" u="sng"/>
        </a:p>
      </xdr:txBody>
    </xdr:sp>
    <xdr:clientData/>
  </xdr:twoCellAnchor>
  <xdr:twoCellAnchor>
    <xdr:from>
      <xdr:col>49</xdr:col>
      <xdr:colOff>177800</xdr:colOff>
      <xdr:row>66</xdr:row>
      <xdr:rowOff>31750</xdr:rowOff>
    </xdr:from>
    <xdr:to>
      <xdr:col>75</xdr:col>
      <xdr:colOff>184150</xdr:colOff>
      <xdr:row>71</xdr:row>
      <xdr:rowOff>146050</xdr:rowOff>
    </xdr:to>
    <xdr:sp macro="" textlink="">
      <xdr:nvSpPr>
        <xdr:cNvPr id="31" name="สี่เหลี่ยมผืนผ้า 30"/>
        <xdr:cNvSpPr/>
      </xdr:nvSpPr>
      <xdr:spPr>
        <a:xfrm>
          <a:off x="19272250" y="11645900"/>
          <a:ext cx="8426450" cy="9969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254000</xdr:colOff>
      <xdr:row>64</xdr:row>
      <xdr:rowOff>120650</xdr:rowOff>
    </xdr:from>
    <xdr:to>
      <xdr:col>3</xdr:col>
      <xdr:colOff>558800</xdr:colOff>
      <xdr:row>66</xdr:row>
      <xdr:rowOff>31750</xdr:rowOff>
    </xdr:to>
    <xdr:sp macro="" textlink="O57">
      <xdr:nvSpPr>
        <xdr:cNvPr id="16" name="สี่เหลี่ยมผืนผ้า 15"/>
        <xdr:cNvSpPr/>
      </xdr:nvSpPr>
      <xdr:spPr>
        <a:xfrm>
          <a:off x="1797050" y="11512550"/>
          <a:ext cx="304800" cy="1778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fld id="{B7D8154C-F212-4196-AAA9-A70B1217EBD0}" type="TxLink">
            <a:rPr lang="th-TH" sz="800"/>
            <a:pPr algn="ctr"/>
            <a:t>9</a:t>
          </a:fld>
          <a:endParaRPr lang="th-TH" sz="800"/>
        </a:p>
      </xdr:txBody>
    </xdr:sp>
    <xdr:clientData/>
  </xdr:twoCellAnchor>
  <xdr:twoCellAnchor>
    <xdr:from>
      <xdr:col>4</xdr:col>
      <xdr:colOff>292100</xdr:colOff>
      <xdr:row>64</xdr:row>
      <xdr:rowOff>114300</xdr:rowOff>
    </xdr:from>
    <xdr:to>
      <xdr:col>5</xdr:col>
      <xdr:colOff>203200</xdr:colOff>
      <xdr:row>66</xdr:row>
      <xdr:rowOff>19050</xdr:rowOff>
    </xdr:to>
    <xdr:sp macro="" textlink="O55">
      <xdr:nvSpPr>
        <xdr:cNvPr id="17" name="สี่เหลี่ยมผืนผ้า 16"/>
        <xdr:cNvSpPr/>
      </xdr:nvSpPr>
      <xdr:spPr>
        <a:xfrm>
          <a:off x="2438400" y="11487150"/>
          <a:ext cx="476250" cy="1714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fld id="{897A00C5-7EC3-4108-BAA8-B5619684101E}" type="TxLink">
            <a:rPr lang="th-TH" sz="800"/>
            <a:pPr algn="ctr"/>
            <a:t>0.166</a:t>
          </a:fld>
          <a:endParaRPr lang="th-TH" sz="800"/>
        </a:p>
      </xdr:txBody>
    </xdr:sp>
    <xdr:clientData/>
  </xdr:twoCellAnchor>
  <xdr:twoCellAnchor>
    <xdr:from>
      <xdr:col>9</xdr:col>
      <xdr:colOff>273050</xdr:colOff>
      <xdr:row>65</xdr:row>
      <xdr:rowOff>63500</xdr:rowOff>
    </xdr:from>
    <xdr:to>
      <xdr:col>10</xdr:col>
      <xdr:colOff>336550</xdr:colOff>
      <xdr:row>66</xdr:row>
      <xdr:rowOff>101600</xdr:rowOff>
    </xdr:to>
    <xdr:sp macro="" textlink="O55">
      <xdr:nvSpPr>
        <xdr:cNvPr id="19" name="สี่เหลี่ยมผืนผ้า 18"/>
        <xdr:cNvSpPr/>
      </xdr:nvSpPr>
      <xdr:spPr>
        <a:xfrm>
          <a:off x="5060950" y="11569700"/>
          <a:ext cx="501650" cy="1714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fld id="{897A00C5-7EC3-4108-BAA8-B5619684101E}" type="TxLink">
            <a:rPr lang="th-TH" sz="800"/>
            <a:pPr algn="ctr"/>
            <a:t>0.166</a:t>
          </a:fld>
          <a:endParaRPr lang="th-TH" sz="800"/>
        </a:p>
      </xdr:txBody>
    </xdr:sp>
    <xdr:clientData/>
  </xdr:twoCellAnchor>
  <xdr:twoCellAnchor>
    <xdr:from>
      <xdr:col>2</xdr:col>
      <xdr:colOff>596900</xdr:colOff>
      <xdr:row>65</xdr:row>
      <xdr:rowOff>19050</xdr:rowOff>
    </xdr:from>
    <xdr:to>
      <xdr:col>3</xdr:col>
      <xdr:colOff>342900</xdr:colOff>
      <xdr:row>66</xdr:row>
      <xdr:rowOff>101600</xdr:rowOff>
    </xdr:to>
    <xdr:sp macro="" textlink="">
      <xdr:nvSpPr>
        <xdr:cNvPr id="20" name="สี่เหลี่ยมผืนผ้า 19"/>
        <xdr:cNvSpPr/>
      </xdr:nvSpPr>
      <xdr:spPr>
        <a:xfrm>
          <a:off x="1473200" y="11544300"/>
          <a:ext cx="412750" cy="2159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800"/>
            <a:t>ป</a:t>
          </a:r>
          <a:r>
            <a:rPr lang="en-US" sz="800"/>
            <a:t>-Ø</a:t>
          </a:r>
        </a:p>
        <a:p>
          <a:pPr algn="ctr"/>
          <a:endParaRPr lang="th-TH" sz="800"/>
        </a:p>
      </xdr:txBody>
    </xdr:sp>
    <xdr:clientData/>
  </xdr:twoCellAnchor>
  <xdr:twoCellAnchor>
    <xdr:from>
      <xdr:col>3</xdr:col>
      <xdr:colOff>488950</xdr:colOff>
      <xdr:row>64</xdr:row>
      <xdr:rowOff>63500</xdr:rowOff>
    </xdr:from>
    <xdr:to>
      <xdr:col>4</xdr:col>
      <xdr:colOff>400050</xdr:colOff>
      <xdr:row>66</xdr:row>
      <xdr:rowOff>57150</xdr:rowOff>
    </xdr:to>
    <xdr:sp macro="" textlink="">
      <xdr:nvSpPr>
        <xdr:cNvPr id="21" name="สี่เหลี่ยมผืนผ้า 20"/>
        <xdr:cNvSpPr/>
      </xdr:nvSpPr>
      <xdr:spPr>
        <a:xfrm>
          <a:off x="2032000" y="11436350"/>
          <a:ext cx="514350" cy="2603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800"/>
            <a:t>mm.@</a:t>
          </a:r>
          <a:endParaRPr lang="th-TH" sz="800"/>
        </a:p>
      </xdr:txBody>
    </xdr:sp>
    <xdr:clientData/>
  </xdr:twoCellAnchor>
  <xdr:twoCellAnchor>
    <xdr:from>
      <xdr:col>7</xdr:col>
      <xdr:colOff>292100</xdr:colOff>
      <xdr:row>65</xdr:row>
      <xdr:rowOff>6350</xdr:rowOff>
    </xdr:from>
    <xdr:to>
      <xdr:col>8</xdr:col>
      <xdr:colOff>342900</xdr:colOff>
      <xdr:row>66</xdr:row>
      <xdr:rowOff>139700</xdr:rowOff>
    </xdr:to>
    <xdr:sp macro="" textlink="">
      <xdr:nvSpPr>
        <xdr:cNvPr id="22" name="สี่เหลี่ยมผืนผ้า 21"/>
        <xdr:cNvSpPr/>
      </xdr:nvSpPr>
      <xdr:spPr>
        <a:xfrm>
          <a:off x="4165600" y="11531600"/>
          <a:ext cx="393700" cy="2667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h-TH" sz="900"/>
            <a:t>ป</a:t>
          </a:r>
          <a:r>
            <a:rPr lang="en-US" sz="900"/>
            <a:t>-Ø </a:t>
          </a:r>
          <a:endParaRPr lang="th-TH" sz="900"/>
        </a:p>
      </xdr:txBody>
    </xdr:sp>
    <xdr:clientData/>
  </xdr:twoCellAnchor>
  <xdr:twoCellAnchor>
    <xdr:from>
      <xdr:col>8</xdr:col>
      <xdr:colOff>444500</xdr:colOff>
      <xdr:row>65</xdr:row>
      <xdr:rowOff>31750</xdr:rowOff>
    </xdr:from>
    <xdr:to>
      <xdr:col>9</xdr:col>
      <xdr:colOff>387350</xdr:colOff>
      <xdr:row>67</xdr:row>
      <xdr:rowOff>0</xdr:rowOff>
    </xdr:to>
    <xdr:sp macro="" textlink="">
      <xdr:nvSpPr>
        <xdr:cNvPr id="23" name="สี่เหลี่ยมผืนผ้า 22"/>
        <xdr:cNvSpPr/>
      </xdr:nvSpPr>
      <xdr:spPr>
        <a:xfrm>
          <a:off x="4660900" y="11557000"/>
          <a:ext cx="527050" cy="2857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800"/>
            <a:t>mm. @</a:t>
          </a:r>
          <a:endParaRPr lang="th-TH" sz="800"/>
        </a:p>
      </xdr:txBody>
    </xdr:sp>
    <xdr:clientData/>
  </xdr:twoCellAnchor>
  <xdr:twoCellAnchor>
    <xdr:from>
      <xdr:col>8</xdr:col>
      <xdr:colOff>260350</xdr:colOff>
      <xdr:row>65</xdr:row>
      <xdr:rowOff>50800</xdr:rowOff>
    </xdr:from>
    <xdr:to>
      <xdr:col>8</xdr:col>
      <xdr:colOff>558800</xdr:colOff>
      <xdr:row>66</xdr:row>
      <xdr:rowOff>101600</xdr:rowOff>
    </xdr:to>
    <xdr:sp macro="" textlink="$O$57">
      <xdr:nvSpPr>
        <xdr:cNvPr id="24" name="สี่เหลี่ยมผืนผ้า 23"/>
        <xdr:cNvSpPr/>
      </xdr:nvSpPr>
      <xdr:spPr>
        <a:xfrm>
          <a:off x="4476750" y="11576050"/>
          <a:ext cx="298450" cy="1841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fld id="{A49B5119-5A35-4EC1-8BDD-D87CED229E2C}" type="TxLink">
            <a:rPr lang="th-TH" sz="800"/>
            <a:pPr algn="ctr"/>
            <a:t>9</a:t>
          </a:fld>
          <a:endParaRPr lang="th-TH" sz="800"/>
        </a:p>
      </xdr:txBody>
    </xdr:sp>
    <xdr:clientData/>
  </xdr:twoCellAnchor>
  <xdr:twoCellAnchor>
    <xdr:from>
      <xdr:col>2</xdr:col>
      <xdr:colOff>603250</xdr:colOff>
      <xdr:row>62</xdr:row>
      <xdr:rowOff>57150</xdr:rowOff>
    </xdr:from>
    <xdr:to>
      <xdr:col>3</xdr:col>
      <xdr:colOff>158750</xdr:colOff>
      <xdr:row>62</xdr:row>
      <xdr:rowOff>228600</xdr:rowOff>
    </xdr:to>
    <xdr:sp macro="" textlink="I29">
      <xdr:nvSpPr>
        <xdr:cNvPr id="32" name="สี่เหลี่ยมผืนผ้า 31"/>
        <xdr:cNvSpPr/>
      </xdr:nvSpPr>
      <xdr:spPr>
        <a:xfrm>
          <a:off x="1479550" y="11029950"/>
          <a:ext cx="222250" cy="1714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fld id="{7BF08460-00F5-42CA-BCDC-5106B30311E3}" type="TxLink">
            <a:rPr lang="th-TH" sz="900"/>
            <a:pPr algn="ctr"/>
            <a:t>8</a:t>
          </a:fld>
          <a:endParaRPr lang="th-TH" sz="900"/>
        </a:p>
      </xdr:txBody>
    </xdr:sp>
    <xdr:clientData/>
  </xdr:twoCellAnchor>
  <xdr:twoCellAnchor>
    <xdr:from>
      <xdr:col>3</xdr:col>
      <xdr:colOff>215900</xdr:colOff>
      <xdr:row>62</xdr:row>
      <xdr:rowOff>38100</xdr:rowOff>
    </xdr:from>
    <xdr:to>
      <xdr:col>3</xdr:col>
      <xdr:colOff>533400</xdr:colOff>
      <xdr:row>62</xdr:row>
      <xdr:rowOff>254000</xdr:rowOff>
    </xdr:to>
    <xdr:sp macro="" textlink="G30">
      <xdr:nvSpPr>
        <xdr:cNvPr id="33" name="สี่เหลี่ยมผืนผ้า 32"/>
        <xdr:cNvSpPr/>
      </xdr:nvSpPr>
      <xdr:spPr>
        <a:xfrm>
          <a:off x="1758950" y="11010900"/>
          <a:ext cx="317500" cy="2159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fld id="{9BC88110-6315-4B45-82DE-FCF3FFD32A49}" type="TxLink">
            <a:rPr lang="th-TH" sz="900"/>
            <a:pPr algn="ctr"/>
            <a:t>RB</a:t>
          </a:fld>
          <a:endParaRPr lang="th-TH" sz="900"/>
        </a:p>
      </xdr:txBody>
    </xdr:sp>
    <xdr:clientData/>
  </xdr:twoCellAnchor>
  <xdr:twoCellAnchor>
    <xdr:from>
      <xdr:col>3</xdr:col>
      <xdr:colOff>438150</xdr:colOff>
      <xdr:row>62</xdr:row>
      <xdr:rowOff>50800</xdr:rowOff>
    </xdr:from>
    <xdr:to>
      <xdr:col>4</xdr:col>
      <xdr:colOff>152400</xdr:colOff>
      <xdr:row>62</xdr:row>
      <xdr:rowOff>254000</xdr:rowOff>
    </xdr:to>
    <xdr:sp macro="" textlink="I30">
      <xdr:nvSpPr>
        <xdr:cNvPr id="34" name="สี่เหลี่ยมผืนผ้า 33"/>
        <xdr:cNvSpPr/>
      </xdr:nvSpPr>
      <xdr:spPr>
        <a:xfrm>
          <a:off x="1981200" y="11023600"/>
          <a:ext cx="317500" cy="2032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fld id="{F9A7504E-4AE7-4B23-9864-BD377CDC2F7D}" type="TxLink">
            <a:rPr lang="th-TH" sz="900"/>
            <a:pPr algn="ctr"/>
            <a:t>12</a:t>
          </a:fld>
          <a:endParaRPr lang="th-TH" sz="900"/>
        </a:p>
      </xdr:txBody>
    </xdr:sp>
    <xdr:clientData/>
  </xdr:twoCellAnchor>
  <xdr:twoCellAnchor>
    <xdr:from>
      <xdr:col>3</xdr:col>
      <xdr:colOff>107950</xdr:colOff>
      <xdr:row>62</xdr:row>
      <xdr:rowOff>88900</xdr:rowOff>
    </xdr:from>
    <xdr:to>
      <xdr:col>3</xdr:col>
      <xdr:colOff>247650</xdr:colOff>
      <xdr:row>62</xdr:row>
      <xdr:rowOff>203200</xdr:rowOff>
    </xdr:to>
    <xdr:sp macro="" textlink="">
      <xdr:nvSpPr>
        <xdr:cNvPr id="35" name="สี่เหลี่ยมผืนผ้า 34"/>
        <xdr:cNvSpPr/>
      </xdr:nvSpPr>
      <xdr:spPr>
        <a:xfrm>
          <a:off x="1651000" y="11061700"/>
          <a:ext cx="139700" cy="1143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900" b="1"/>
            <a:t>-</a:t>
          </a:r>
          <a:endParaRPr lang="th-TH" sz="900" b="1"/>
        </a:p>
      </xdr:txBody>
    </xdr:sp>
    <xdr:clientData/>
  </xdr:twoCellAnchor>
  <xdr:twoCellAnchor>
    <xdr:from>
      <xdr:col>2</xdr:col>
      <xdr:colOff>546100</xdr:colOff>
      <xdr:row>71</xdr:row>
      <xdr:rowOff>76200</xdr:rowOff>
    </xdr:from>
    <xdr:to>
      <xdr:col>3</xdr:col>
      <xdr:colOff>158750</xdr:colOff>
      <xdr:row>72</xdr:row>
      <xdr:rowOff>25400</xdr:rowOff>
    </xdr:to>
    <xdr:sp macro="" textlink="$J$29">
      <xdr:nvSpPr>
        <xdr:cNvPr id="36" name="สี่เหลี่ยมผืนผ้า 35"/>
        <xdr:cNvSpPr/>
      </xdr:nvSpPr>
      <xdr:spPr>
        <a:xfrm>
          <a:off x="1422400" y="12598400"/>
          <a:ext cx="279400" cy="1143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fld id="{20880CB6-ADC0-4197-B665-D3587DB1BCD5}" type="TxLink">
            <a:rPr lang="th-TH" sz="900"/>
            <a:pPr algn="ctr"/>
            <a:t>8</a:t>
          </a:fld>
          <a:endParaRPr lang="th-TH" sz="900"/>
        </a:p>
      </xdr:txBody>
    </xdr:sp>
    <xdr:clientData/>
  </xdr:twoCellAnchor>
  <xdr:twoCellAnchor>
    <xdr:from>
      <xdr:col>3</xdr:col>
      <xdr:colOff>165100</xdr:colOff>
      <xdr:row>70</xdr:row>
      <xdr:rowOff>184150</xdr:rowOff>
    </xdr:from>
    <xdr:to>
      <xdr:col>3</xdr:col>
      <xdr:colOff>476250</xdr:colOff>
      <xdr:row>72</xdr:row>
      <xdr:rowOff>82550</xdr:rowOff>
    </xdr:to>
    <xdr:sp macro="" textlink="$G$30">
      <xdr:nvSpPr>
        <xdr:cNvPr id="37" name="สี่เหลี่ยมผืนผ้า 36"/>
        <xdr:cNvSpPr/>
      </xdr:nvSpPr>
      <xdr:spPr>
        <a:xfrm>
          <a:off x="1708150" y="12515850"/>
          <a:ext cx="311150" cy="2540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fld id="{6A91CAAB-D83A-4EFC-81EC-818085040477}" type="TxLink">
            <a:rPr lang="th-TH" sz="900"/>
            <a:pPr algn="ctr"/>
            <a:t>RB</a:t>
          </a:fld>
          <a:endParaRPr lang="th-TH" sz="900"/>
        </a:p>
      </xdr:txBody>
    </xdr:sp>
    <xdr:clientData/>
  </xdr:twoCellAnchor>
  <xdr:twoCellAnchor>
    <xdr:from>
      <xdr:col>3</xdr:col>
      <xdr:colOff>393700</xdr:colOff>
      <xdr:row>71</xdr:row>
      <xdr:rowOff>19050</xdr:rowOff>
    </xdr:from>
    <xdr:to>
      <xdr:col>4</xdr:col>
      <xdr:colOff>114300</xdr:colOff>
      <xdr:row>72</xdr:row>
      <xdr:rowOff>63500</xdr:rowOff>
    </xdr:to>
    <xdr:sp macro="" textlink="$J$30">
      <xdr:nvSpPr>
        <xdr:cNvPr id="38" name="สี่เหลี่ยมผืนผ้า 37"/>
        <xdr:cNvSpPr/>
      </xdr:nvSpPr>
      <xdr:spPr>
        <a:xfrm>
          <a:off x="1936750" y="12541250"/>
          <a:ext cx="323850" cy="2095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fld id="{5CA293C5-B7A4-4694-A385-D714688E7434}" type="TxLink">
            <a:rPr lang="th-TH" sz="900"/>
            <a:pPr algn="ctr"/>
            <a:t>12</a:t>
          </a:fld>
          <a:endParaRPr lang="th-TH" sz="900"/>
        </a:p>
      </xdr:txBody>
    </xdr:sp>
    <xdr:clientData/>
  </xdr:twoCellAnchor>
  <xdr:twoCellAnchor>
    <xdr:from>
      <xdr:col>3</xdr:col>
      <xdr:colOff>50800</xdr:colOff>
      <xdr:row>71</xdr:row>
      <xdr:rowOff>69850</xdr:rowOff>
    </xdr:from>
    <xdr:to>
      <xdr:col>3</xdr:col>
      <xdr:colOff>215900</xdr:colOff>
      <xdr:row>72</xdr:row>
      <xdr:rowOff>25400</xdr:rowOff>
    </xdr:to>
    <xdr:sp macro="" textlink="">
      <xdr:nvSpPr>
        <xdr:cNvPr id="39" name="สี่เหลี่ยมผืนผ้า 38"/>
        <xdr:cNvSpPr/>
      </xdr:nvSpPr>
      <xdr:spPr>
        <a:xfrm>
          <a:off x="1593850" y="12592050"/>
          <a:ext cx="165100" cy="1206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900" b="1"/>
            <a:t>-</a:t>
          </a:r>
          <a:endParaRPr lang="th-TH" sz="900" b="1"/>
        </a:p>
      </xdr:txBody>
    </xdr:sp>
    <xdr:clientData/>
  </xdr:twoCellAnchor>
  <xdr:twoCellAnchor>
    <xdr:from>
      <xdr:col>7</xdr:col>
      <xdr:colOff>317500</xdr:colOff>
      <xdr:row>71</xdr:row>
      <xdr:rowOff>38100</xdr:rowOff>
    </xdr:from>
    <xdr:to>
      <xdr:col>8</xdr:col>
      <xdr:colOff>355600</xdr:colOff>
      <xdr:row>72</xdr:row>
      <xdr:rowOff>44450</xdr:rowOff>
    </xdr:to>
    <xdr:sp macro="" textlink="$J$32">
      <xdr:nvSpPr>
        <xdr:cNvPr id="40" name="สี่เหลี่ยมผืนผ้า 39"/>
        <xdr:cNvSpPr/>
      </xdr:nvSpPr>
      <xdr:spPr>
        <a:xfrm>
          <a:off x="4191000" y="12560300"/>
          <a:ext cx="381000" cy="1714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fld id="{AAD49656-29BE-4684-9539-0597FFF3FAD6}" type="TxLink">
            <a:rPr lang="th-TH" sz="900"/>
            <a:pPr algn="ctr"/>
            <a:t>4</a:t>
          </a:fld>
          <a:endParaRPr lang="th-TH" sz="900"/>
        </a:p>
      </xdr:txBody>
    </xdr:sp>
    <xdr:clientData/>
  </xdr:twoCellAnchor>
  <xdr:twoCellAnchor>
    <xdr:from>
      <xdr:col>8</xdr:col>
      <xdr:colOff>368300</xdr:colOff>
      <xdr:row>71</xdr:row>
      <xdr:rowOff>25400</xdr:rowOff>
    </xdr:from>
    <xdr:to>
      <xdr:col>9</xdr:col>
      <xdr:colOff>133350</xdr:colOff>
      <xdr:row>72</xdr:row>
      <xdr:rowOff>82550</xdr:rowOff>
    </xdr:to>
    <xdr:sp macro="" textlink="$G$33">
      <xdr:nvSpPr>
        <xdr:cNvPr id="41" name="สี่เหลี่ยมผืนผ้า 40"/>
        <xdr:cNvSpPr/>
      </xdr:nvSpPr>
      <xdr:spPr>
        <a:xfrm>
          <a:off x="4584700" y="12547600"/>
          <a:ext cx="336550" cy="222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fld id="{75673F6C-492B-4CC4-9C7E-0899C3C10E60}" type="TxLink">
            <a:rPr lang="th-TH" sz="900"/>
            <a:pPr algn="ctr"/>
            <a:t>RB</a:t>
          </a:fld>
          <a:endParaRPr lang="th-TH" sz="900"/>
        </a:p>
      </xdr:txBody>
    </xdr:sp>
    <xdr:clientData/>
  </xdr:twoCellAnchor>
  <xdr:twoCellAnchor>
    <xdr:from>
      <xdr:col>9</xdr:col>
      <xdr:colOff>31750</xdr:colOff>
      <xdr:row>71</xdr:row>
      <xdr:rowOff>6350</xdr:rowOff>
    </xdr:from>
    <xdr:to>
      <xdr:col>9</xdr:col>
      <xdr:colOff>381000</xdr:colOff>
      <xdr:row>72</xdr:row>
      <xdr:rowOff>95250</xdr:rowOff>
    </xdr:to>
    <xdr:sp macro="" textlink="$J$33">
      <xdr:nvSpPr>
        <xdr:cNvPr id="42" name="สี่เหลี่ยมผืนผ้า 41"/>
        <xdr:cNvSpPr/>
      </xdr:nvSpPr>
      <xdr:spPr>
        <a:xfrm>
          <a:off x="4819650" y="12528550"/>
          <a:ext cx="349250" cy="2540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fld id="{67C4803A-3E8B-4ED2-97D5-D7F3E60B7327}" type="TxLink">
            <a:rPr lang="th-TH" sz="900"/>
            <a:pPr algn="ctr"/>
            <a:t>12</a:t>
          </a:fld>
          <a:endParaRPr lang="th-TH" sz="900"/>
        </a:p>
      </xdr:txBody>
    </xdr:sp>
    <xdr:clientData/>
  </xdr:twoCellAnchor>
  <xdr:twoCellAnchor>
    <xdr:from>
      <xdr:col>8</xdr:col>
      <xdr:colOff>209550</xdr:colOff>
      <xdr:row>71</xdr:row>
      <xdr:rowOff>57150</xdr:rowOff>
    </xdr:from>
    <xdr:to>
      <xdr:col>8</xdr:col>
      <xdr:colOff>336550</xdr:colOff>
      <xdr:row>72</xdr:row>
      <xdr:rowOff>31750</xdr:rowOff>
    </xdr:to>
    <xdr:sp macro="" textlink="">
      <xdr:nvSpPr>
        <xdr:cNvPr id="43" name="สี่เหลี่ยมผืนผ้า 42"/>
        <xdr:cNvSpPr/>
      </xdr:nvSpPr>
      <xdr:spPr>
        <a:xfrm>
          <a:off x="4425950" y="12579350"/>
          <a:ext cx="127000" cy="1397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900" b="1"/>
            <a:t>-</a:t>
          </a:r>
          <a:endParaRPr lang="th-TH" sz="900" b="1"/>
        </a:p>
      </xdr:txBody>
    </xdr:sp>
    <xdr:clientData/>
  </xdr:twoCellAnchor>
  <xdr:twoCellAnchor>
    <xdr:from>
      <xdr:col>7</xdr:col>
      <xdr:colOff>266700</xdr:colOff>
      <xdr:row>62</xdr:row>
      <xdr:rowOff>19050</xdr:rowOff>
    </xdr:from>
    <xdr:to>
      <xdr:col>8</xdr:col>
      <xdr:colOff>241300</xdr:colOff>
      <xdr:row>62</xdr:row>
      <xdr:rowOff>190500</xdr:rowOff>
    </xdr:to>
    <xdr:sp macro="" textlink="$I$32">
      <xdr:nvSpPr>
        <xdr:cNvPr id="44" name="สี่เหลี่ยมผืนผ้า 43"/>
        <xdr:cNvSpPr/>
      </xdr:nvSpPr>
      <xdr:spPr>
        <a:xfrm>
          <a:off x="4140200" y="10991850"/>
          <a:ext cx="317500" cy="1714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fld id="{7362ADD8-10D0-452C-95BF-16198CC107A0}" type="TxLink">
            <a:rPr lang="th-TH" sz="900"/>
            <a:pPr algn="ctr"/>
            <a:t>6</a:t>
          </a:fld>
          <a:endParaRPr lang="th-TH" sz="900"/>
        </a:p>
      </xdr:txBody>
    </xdr:sp>
    <xdr:clientData/>
  </xdr:twoCellAnchor>
  <xdr:twoCellAnchor>
    <xdr:from>
      <xdr:col>8</xdr:col>
      <xdr:colOff>273050</xdr:colOff>
      <xdr:row>61</xdr:row>
      <xdr:rowOff>171450</xdr:rowOff>
    </xdr:from>
    <xdr:to>
      <xdr:col>9</xdr:col>
      <xdr:colOff>50800</xdr:colOff>
      <xdr:row>62</xdr:row>
      <xdr:rowOff>203200</xdr:rowOff>
    </xdr:to>
    <xdr:sp macro="" textlink="$G$33">
      <xdr:nvSpPr>
        <xdr:cNvPr id="45" name="สี่เหลี่ยมผืนผ้า 44"/>
        <xdr:cNvSpPr/>
      </xdr:nvSpPr>
      <xdr:spPr>
        <a:xfrm>
          <a:off x="4489450" y="10960100"/>
          <a:ext cx="349250" cy="2159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fld id="{8A7DC422-17F5-4D8D-A497-3679D44FCA45}" type="TxLink">
            <a:rPr lang="th-TH" sz="900"/>
            <a:pPr algn="ctr"/>
            <a:t>RB</a:t>
          </a:fld>
          <a:endParaRPr lang="th-TH" sz="900"/>
        </a:p>
      </xdr:txBody>
    </xdr:sp>
    <xdr:clientData/>
  </xdr:twoCellAnchor>
  <xdr:twoCellAnchor>
    <xdr:from>
      <xdr:col>8</xdr:col>
      <xdr:colOff>520700</xdr:colOff>
      <xdr:row>61</xdr:row>
      <xdr:rowOff>165100</xdr:rowOff>
    </xdr:from>
    <xdr:to>
      <xdr:col>9</xdr:col>
      <xdr:colOff>292100</xdr:colOff>
      <xdr:row>62</xdr:row>
      <xdr:rowOff>222250</xdr:rowOff>
    </xdr:to>
    <xdr:sp macro="" textlink="I33">
      <xdr:nvSpPr>
        <xdr:cNvPr id="46" name="สี่เหลี่ยมผืนผ้า 45"/>
        <xdr:cNvSpPr/>
      </xdr:nvSpPr>
      <xdr:spPr>
        <a:xfrm>
          <a:off x="4737100" y="10953750"/>
          <a:ext cx="342900" cy="2413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fld id="{9BE9D5F5-3D10-428C-BA66-7E3D15EB4BF9}" type="TxLink">
            <a:rPr lang="th-TH" sz="900"/>
            <a:pPr algn="ctr"/>
            <a:t>12</a:t>
          </a:fld>
          <a:endParaRPr lang="th-TH" sz="900"/>
        </a:p>
      </xdr:txBody>
    </xdr:sp>
    <xdr:clientData/>
  </xdr:twoCellAnchor>
  <xdr:twoCellAnchor>
    <xdr:from>
      <xdr:col>8</xdr:col>
      <xdr:colOff>139700</xdr:colOff>
      <xdr:row>62</xdr:row>
      <xdr:rowOff>12700</xdr:rowOff>
    </xdr:from>
    <xdr:to>
      <xdr:col>8</xdr:col>
      <xdr:colOff>317500</xdr:colOff>
      <xdr:row>62</xdr:row>
      <xdr:rowOff>158750</xdr:rowOff>
    </xdr:to>
    <xdr:sp macro="" textlink="">
      <xdr:nvSpPr>
        <xdr:cNvPr id="47" name="สี่เหลี่ยมผืนผ้า 46"/>
        <xdr:cNvSpPr/>
      </xdr:nvSpPr>
      <xdr:spPr>
        <a:xfrm>
          <a:off x="4356100" y="10985500"/>
          <a:ext cx="177800" cy="1460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900" b="1"/>
            <a:t>-</a:t>
          </a:r>
          <a:endParaRPr lang="th-TH" sz="900" b="1"/>
        </a:p>
      </xdr:txBody>
    </xdr:sp>
    <xdr:clientData/>
  </xdr:twoCellAnchor>
  <xdr:twoCellAnchor>
    <xdr:from>
      <xdr:col>6</xdr:col>
      <xdr:colOff>482600</xdr:colOff>
      <xdr:row>62</xdr:row>
      <xdr:rowOff>209550</xdr:rowOff>
    </xdr:from>
    <xdr:to>
      <xdr:col>6</xdr:col>
      <xdr:colOff>546100</xdr:colOff>
      <xdr:row>71</xdr:row>
      <xdr:rowOff>50800</xdr:rowOff>
    </xdr:to>
    <xdr:sp macro="" textlink="">
      <xdr:nvSpPr>
        <xdr:cNvPr id="48" name="สี่เหลี่ยมผืนผ้า 47"/>
        <xdr:cNvSpPr/>
      </xdr:nvSpPr>
      <xdr:spPr>
        <a:xfrm>
          <a:off x="3765550" y="11201400"/>
          <a:ext cx="63500" cy="1390650"/>
        </a:xfrm>
        <a:prstGeom prst="rect">
          <a:avLst/>
        </a:prstGeom>
        <a:blipFill>
          <a:blip xmlns:r="http://schemas.openxmlformats.org/officeDocument/2006/relationships" r:embed="rId3"/>
          <a:tile tx="0" ty="0" sx="100000" sy="100000" flip="none" algn="tl"/>
        </a:blip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th-TH"/>
        </a:p>
      </xdr:txBody>
    </xdr:sp>
    <xdr:clientData/>
  </xdr:twoCellAnchor>
  <xdr:twoCellAnchor>
    <xdr:from>
      <xdr:col>1</xdr:col>
      <xdr:colOff>228600</xdr:colOff>
      <xdr:row>62</xdr:row>
      <xdr:rowOff>222250</xdr:rowOff>
    </xdr:from>
    <xdr:to>
      <xdr:col>1</xdr:col>
      <xdr:colOff>285750</xdr:colOff>
      <xdr:row>71</xdr:row>
      <xdr:rowOff>50800</xdr:rowOff>
    </xdr:to>
    <xdr:sp macro="" textlink="">
      <xdr:nvSpPr>
        <xdr:cNvPr id="49" name="สี่เหลี่ยมผืนผ้า 48"/>
        <xdr:cNvSpPr/>
      </xdr:nvSpPr>
      <xdr:spPr>
        <a:xfrm>
          <a:off x="457200" y="11214100"/>
          <a:ext cx="57150" cy="1377950"/>
        </a:xfrm>
        <a:prstGeom prst="rect">
          <a:avLst/>
        </a:prstGeom>
        <a:blipFill>
          <a:blip xmlns:r="http://schemas.openxmlformats.org/officeDocument/2006/relationships" r:embed="rId3"/>
          <a:tile tx="0" ty="0" sx="100000" sy="100000" flip="none" algn="tl"/>
        </a:blip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900"/>
        </a:p>
      </xdr:txBody>
    </xdr:sp>
    <xdr:clientData/>
  </xdr:twoCellAnchor>
  <xdr:twoCellAnchor>
    <xdr:from>
      <xdr:col>5</xdr:col>
      <xdr:colOff>495300</xdr:colOff>
      <xdr:row>62</xdr:row>
      <xdr:rowOff>209550</xdr:rowOff>
    </xdr:from>
    <xdr:to>
      <xdr:col>5</xdr:col>
      <xdr:colOff>552450</xdr:colOff>
      <xdr:row>71</xdr:row>
      <xdr:rowOff>57150</xdr:rowOff>
    </xdr:to>
    <xdr:sp macro="" textlink="">
      <xdr:nvSpPr>
        <xdr:cNvPr id="50" name="สี่เหลี่ยมผืนผ้า 49"/>
        <xdr:cNvSpPr/>
      </xdr:nvSpPr>
      <xdr:spPr>
        <a:xfrm>
          <a:off x="3206750" y="11201400"/>
          <a:ext cx="57150" cy="1397000"/>
        </a:xfrm>
        <a:prstGeom prst="rect">
          <a:avLst/>
        </a:prstGeom>
        <a:blipFill>
          <a:blip xmlns:r="http://schemas.openxmlformats.org/officeDocument/2006/relationships" r:embed="rId3"/>
          <a:tile tx="0" ty="0" sx="100000" sy="100000" flip="none" algn="tl"/>
        </a:blip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900"/>
        </a:p>
      </xdr:txBody>
    </xdr:sp>
    <xdr:clientData/>
  </xdr:twoCellAnchor>
  <xdr:twoCellAnchor>
    <xdr:from>
      <xdr:col>5</xdr:col>
      <xdr:colOff>546100</xdr:colOff>
      <xdr:row>62</xdr:row>
      <xdr:rowOff>214631</xdr:rowOff>
    </xdr:from>
    <xdr:to>
      <xdr:col>6</xdr:col>
      <xdr:colOff>495300</xdr:colOff>
      <xdr:row>63</xdr:row>
      <xdr:rowOff>0</xdr:rowOff>
    </xdr:to>
    <xdr:sp macro="" textlink="">
      <xdr:nvSpPr>
        <xdr:cNvPr id="51" name="สี่เหลี่ยมผืนผ้า 50"/>
        <xdr:cNvSpPr/>
      </xdr:nvSpPr>
      <xdr:spPr>
        <a:xfrm>
          <a:off x="3257550" y="11206481"/>
          <a:ext cx="520700" cy="52069"/>
        </a:xfrm>
        <a:prstGeom prst="rect">
          <a:avLst/>
        </a:prstGeom>
        <a:blipFill>
          <a:blip xmlns:r="http://schemas.openxmlformats.org/officeDocument/2006/relationships" r:embed="rId3"/>
          <a:tile tx="0" ty="0" sx="100000" sy="100000" flip="none" algn="tl"/>
        </a:blip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900"/>
        </a:p>
      </xdr:txBody>
    </xdr:sp>
    <xdr:clientData/>
  </xdr:twoCellAnchor>
  <xdr:twoCellAnchor>
    <xdr:from>
      <xdr:col>1</xdr:col>
      <xdr:colOff>279400</xdr:colOff>
      <xdr:row>62</xdr:row>
      <xdr:rowOff>214631</xdr:rowOff>
    </xdr:from>
    <xdr:to>
      <xdr:col>2</xdr:col>
      <xdr:colOff>177800</xdr:colOff>
      <xdr:row>63</xdr:row>
      <xdr:rowOff>6350</xdr:rowOff>
    </xdr:to>
    <xdr:sp macro="" textlink="">
      <xdr:nvSpPr>
        <xdr:cNvPr id="52" name="สี่เหลี่ยมผืนผ้า 51"/>
        <xdr:cNvSpPr/>
      </xdr:nvSpPr>
      <xdr:spPr>
        <a:xfrm>
          <a:off x="508000" y="11206481"/>
          <a:ext cx="546100" cy="58419"/>
        </a:xfrm>
        <a:prstGeom prst="rect">
          <a:avLst/>
        </a:prstGeom>
        <a:blipFill>
          <a:blip xmlns:r="http://schemas.openxmlformats.org/officeDocument/2006/relationships" r:embed="rId3"/>
          <a:tile tx="0" ty="0" sx="100000" sy="100000" flip="none" algn="tl"/>
        </a:blip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900"/>
        </a:p>
      </xdr:txBody>
    </xdr:sp>
    <xdr:clientData/>
  </xdr:twoCellAnchor>
  <xdr:twoCellAnchor>
    <xdr:from>
      <xdr:col>1</xdr:col>
      <xdr:colOff>285750</xdr:colOff>
      <xdr:row>70</xdr:row>
      <xdr:rowOff>177801</xdr:rowOff>
    </xdr:from>
    <xdr:to>
      <xdr:col>2</xdr:col>
      <xdr:colOff>190500</xdr:colOff>
      <xdr:row>71</xdr:row>
      <xdr:rowOff>50801</xdr:rowOff>
    </xdr:to>
    <xdr:sp macro="" textlink="">
      <xdr:nvSpPr>
        <xdr:cNvPr id="53" name="สี่เหลี่ยมผืนผ้า 52"/>
        <xdr:cNvSpPr/>
      </xdr:nvSpPr>
      <xdr:spPr>
        <a:xfrm>
          <a:off x="514350" y="12528551"/>
          <a:ext cx="552450" cy="63500"/>
        </a:xfrm>
        <a:prstGeom prst="rect">
          <a:avLst/>
        </a:prstGeom>
        <a:blipFill>
          <a:blip xmlns:r="http://schemas.openxmlformats.org/officeDocument/2006/relationships" r:embed="rId3"/>
          <a:tile tx="0" ty="0" sx="100000" sy="100000" flip="none" algn="tl"/>
        </a:blip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900"/>
        </a:p>
      </xdr:txBody>
    </xdr:sp>
    <xdr:clientData/>
  </xdr:twoCellAnchor>
  <xdr:twoCellAnchor>
    <xdr:from>
      <xdr:col>5</xdr:col>
      <xdr:colOff>533400</xdr:colOff>
      <xdr:row>71</xdr:row>
      <xdr:rowOff>0</xdr:rowOff>
    </xdr:from>
    <xdr:to>
      <xdr:col>6</xdr:col>
      <xdr:colOff>539750</xdr:colOff>
      <xdr:row>71</xdr:row>
      <xdr:rowOff>57150</xdr:rowOff>
    </xdr:to>
    <xdr:sp macro="" textlink="">
      <xdr:nvSpPr>
        <xdr:cNvPr id="54" name="สี่เหลี่ยมผืนผ้า 53"/>
        <xdr:cNvSpPr/>
      </xdr:nvSpPr>
      <xdr:spPr>
        <a:xfrm>
          <a:off x="3244850" y="12541250"/>
          <a:ext cx="577850" cy="57150"/>
        </a:xfrm>
        <a:prstGeom prst="rect">
          <a:avLst/>
        </a:prstGeom>
        <a:blipFill>
          <a:blip xmlns:r="http://schemas.openxmlformats.org/officeDocument/2006/relationships" r:embed="rId3"/>
          <a:tile tx="0" ty="0" sx="100000" sy="100000" flip="none" algn="tl"/>
        </a:blip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9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0.532</cdr:x>
      <cdr:y>0.31445</cdr:y>
    </cdr:from>
    <cdr:to>
      <cdr:x>0.568</cdr:x>
      <cdr:y>0.93484</cdr:y>
    </cdr:to>
    <cdr:sp macro="" textlink="">
      <cdr:nvSpPr>
        <cdr:cNvPr id="2" name="สี่เหลี่ยมผืนผ้า 1"/>
        <cdr:cNvSpPr/>
      </cdr:nvSpPr>
      <cdr:spPr>
        <a:xfrm xmlns:a="http://schemas.openxmlformats.org/drawingml/2006/main">
          <a:off x="844550" y="704850"/>
          <a:ext cx="57150" cy="1390650"/>
        </a:xfrm>
        <a:prstGeom xmlns:a="http://schemas.openxmlformats.org/drawingml/2006/main" prst="rect">
          <a:avLst/>
        </a:prstGeom>
        <a:blipFill xmlns:a="http://schemas.openxmlformats.org/drawingml/2006/main">
          <a:blip xmlns:r="http://schemas.openxmlformats.org/officeDocument/2006/relationships" r:embed="rId1"/>
          <a:tile tx="0" ty="0" sx="100000" sy="100000" flip="none" algn="tl"/>
        </a:blip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ctr"/>
        <a:lstStyle xmlns:a="http://schemas.openxmlformats.org/drawingml/2006/main"/>
        <a:p xmlns:a="http://schemas.openxmlformats.org/drawingml/2006/main">
          <a:endParaRPr lang="th-TH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E/Building%20Design/Building%20Design%20-%20Text%20-%202004/BuildingDesign-08-25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E/Highway%20Engineering/Highway-supplement/Supplementary-Highway-07/VT-curv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E/Building%20Design/Building%20Design%20-%20Text/hcho/Paper%20Apprisal/Duty/Goal/New%20&#3616;&#3634;&#3588;&#3612;&#3609;&#3623;&#3585;%20RC%201/&#3605;&#3634;&#3619;&#3634;&#3591;&#3594;&#3656;&#3623;&#3618;&#3588;&#3635;&#3609;&#3623;&#3603;&#3651;&#3609;&#3616;&#3634;&#3588;&#3612;&#3609;&#3623;&#3585;%20&#3588;-&#35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สารบาญรายการคำนวณ"/>
      <sheetName val="ตาราง 9.1"/>
      <sheetName val="ตาราง ผนวก-1"/>
      <sheetName val="ตาราง 6.2"/>
      <sheetName val="ตัวอย่าง 1 รูป"/>
      <sheetName val="ตัวอย่าง 1 ตาราง"/>
      <sheetName val="ตัวอย่าง 2"/>
      <sheetName val="ตัวอย่าง 3ก"/>
      <sheetName val="ตัวอย่าง 3ข"/>
      <sheetName val="ตัวอย่าง 4"/>
      <sheetName val="ตัวอย่างที่ 5 ตาราง"/>
      <sheetName val="ตัวอย่างที่ 5 รูป"/>
      <sheetName val="รูป 6.5 - ตาราง 6.14-15"/>
      <sheetName val="ตาราง 6.17"/>
      <sheetName val="คานเหล็ก"/>
      <sheetName val="Norminal steel beam section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>
            <v>1</v>
          </cell>
          <cell r="H5">
            <v>347.5</v>
          </cell>
          <cell r="I5">
            <v>86.875</v>
          </cell>
        </row>
        <row r="6">
          <cell r="C6">
            <v>1.5</v>
          </cell>
          <cell r="H6">
            <v>521.25</v>
          </cell>
          <cell r="I6">
            <v>195.46875</v>
          </cell>
        </row>
        <row r="7">
          <cell r="C7">
            <v>2</v>
          </cell>
          <cell r="H7">
            <v>695</v>
          </cell>
          <cell r="I7">
            <v>347.5</v>
          </cell>
        </row>
        <row r="8">
          <cell r="C8">
            <v>2.5</v>
          </cell>
          <cell r="H8">
            <v>868.75</v>
          </cell>
          <cell r="I8">
            <v>542.96875</v>
          </cell>
        </row>
        <row r="9">
          <cell r="C9">
            <v>3</v>
          </cell>
          <cell r="H9">
            <v>1042.5</v>
          </cell>
          <cell r="I9">
            <v>781.875</v>
          </cell>
        </row>
        <row r="10">
          <cell r="C10">
            <v>3.5</v>
          </cell>
          <cell r="H10">
            <v>1216.25</v>
          </cell>
          <cell r="I10">
            <v>1064.21875</v>
          </cell>
        </row>
        <row r="11">
          <cell r="C11">
            <v>4</v>
          </cell>
          <cell r="H11">
            <v>1390</v>
          </cell>
          <cell r="I11">
            <v>1390</v>
          </cell>
        </row>
      </sheetData>
      <sheetData sheetId="7"/>
      <sheetData sheetId="8"/>
      <sheetData sheetId="9"/>
      <sheetData sheetId="10"/>
      <sheetData sheetId="11"/>
      <sheetData sheetId="12">
        <row r="9">
          <cell r="I9" t="str">
            <v>ความลึก, เมตร</v>
          </cell>
        </row>
        <row r="10">
          <cell r="I10" t="str">
            <v>น้ำหนักปลอดภัยเฉลี่ยหรือรวม, ตันต่อเมตร หรือตัน</v>
          </cell>
        </row>
      </sheetData>
      <sheetData sheetId="13">
        <row r="18">
          <cell r="A18">
            <v>1000</v>
          </cell>
          <cell r="U18">
            <v>1.8954328220436969</v>
          </cell>
          <cell r="X18">
            <v>-4.1011865744874063</v>
          </cell>
          <cell r="AA18">
            <v>2.2155000000000005</v>
          </cell>
          <cell r="AB18">
            <v>2.539879981538554</v>
          </cell>
        </row>
        <row r="19">
          <cell r="A19">
            <v>1250</v>
          </cell>
          <cell r="U19">
            <v>2.4314821385808183</v>
          </cell>
          <cell r="X19">
            <v>-2.6707411979073048</v>
          </cell>
          <cell r="AA19">
            <v>2.2155000000000005</v>
          </cell>
          <cell r="AB19">
            <v>3.2581860656982968</v>
          </cell>
        </row>
        <row r="20">
          <cell r="A20">
            <v>1500</v>
          </cell>
          <cell r="U20">
            <v>2.9675314551179399</v>
          </cell>
          <cell r="X20">
            <v>-1.2402958213272046</v>
          </cell>
          <cell r="AA20">
            <v>2.2155000000000005</v>
          </cell>
          <cell r="AB20">
            <v>3.9764921498580397</v>
          </cell>
        </row>
        <row r="21">
          <cell r="A21">
            <v>1750</v>
          </cell>
          <cell r="U21">
            <v>3.5035807716550611</v>
          </cell>
          <cell r="X21">
            <v>0.1901495552528959</v>
          </cell>
          <cell r="AA21">
            <v>2.2155000000000005</v>
          </cell>
          <cell r="AB21">
            <v>4.6947982340177825</v>
          </cell>
        </row>
        <row r="22">
          <cell r="A22">
            <v>2000</v>
          </cell>
          <cell r="U22">
            <v>4.0396300881921823</v>
          </cell>
          <cell r="X22">
            <v>1.6205949318329964</v>
          </cell>
          <cell r="AA22">
            <v>2.2155000000000005</v>
          </cell>
          <cell r="AB22">
            <v>5.4131043181775249</v>
          </cell>
        </row>
        <row r="23">
          <cell r="A23">
            <v>2250</v>
          </cell>
          <cell r="U23">
            <v>4.5756794047293035</v>
          </cell>
          <cell r="X23">
            <v>3.0510403084130968</v>
          </cell>
          <cell r="AA23">
            <v>2.2155000000000005</v>
          </cell>
          <cell r="AB23">
            <v>6.1314104023372673</v>
          </cell>
        </row>
        <row r="24">
          <cell r="A24">
            <v>2500</v>
          </cell>
          <cell r="U24">
            <v>5.1117287212664255</v>
          </cell>
          <cell r="X24">
            <v>4.4814856849931974</v>
          </cell>
          <cell r="AA24">
            <v>2.2155000000000005</v>
          </cell>
          <cell r="AB24">
            <v>6.8497164864970106</v>
          </cell>
        </row>
        <row r="25">
          <cell r="A25">
            <v>2750</v>
          </cell>
          <cell r="U25">
            <v>5.7013409423120871</v>
          </cell>
          <cell r="X25">
            <v>5.6541223154645959</v>
          </cell>
          <cell r="AA25">
            <v>2.2327200000000005</v>
          </cell>
          <cell r="AB25">
            <v>7.6397968626981969</v>
          </cell>
        </row>
        <row r="26">
          <cell r="A26">
            <v>3000</v>
          </cell>
          <cell r="U26">
            <v>6.2373902588492083</v>
          </cell>
          <cell r="X26">
            <v>7.0586056684833274</v>
          </cell>
          <cell r="AA26">
            <v>2.2327200000000005</v>
          </cell>
          <cell r="AB26">
            <v>8.3581029468579402</v>
          </cell>
        </row>
        <row r="27">
          <cell r="A27">
            <v>3250</v>
          </cell>
          <cell r="U27">
            <v>6.7734395753863303</v>
          </cell>
          <cell r="X27">
            <v>8.4630890215020607</v>
          </cell>
          <cell r="AA27">
            <v>2.2327200000000005</v>
          </cell>
          <cell r="AB27">
            <v>9.0764090310176826</v>
          </cell>
        </row>
        <row r="28">
          <cell r="A28">
            <v>3500</v>
          </cell>
          <cell r="U28">
            <v>7.3094888919234515</v>
          </cell>
          <cell r="X28">
            <v>9.8675723745207939</v>
          </cell>
          <cell r="AA28">
            <v>2.2327200000000005</v>
          </cell>
          <cell r="AB28">
            <v>9.794715115177425</v>
          </cell>
        </row>
      </sheetData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T2525"/>
      <sheetName val="VT2550"/>
      <sheetName val="VT5025"/>
      <sheetName val="VT5050"/>
      <sheetName val="VT5075"/>
      <sheetName val="VT7550"/>
      <sheetName val="VT7575"/>
    </sheetNames>
    <sheetDataSet>
      <sheetData sheetId="0">
        <row r="22">
          <cell r="G22">
            <v>0</v>
          </cell>
          <cell r="J22">
            <v>0</v>
          </cell>
          <cell r="K22">
            <v>-0.74285714285714288</v>
          </cell>
          <cell r="L22">
            <v>-0.74285714285714288</v>
          </cell>
        </row>
        <row r="23">
          <cell r="G23">
            <v>0.28928571428571426</v>
          </cell>
          <cell r="J23">
            <v>25</v>
          </cell>
          <cell r="K23">
            <v>-1.2</v>
          </cell>
          <cell r="L23">
            <v>-0.9107142857142857</v>
          </cell>
        </row>
        <row r="24">
          <cell r="J24">
            <v>50</v>
          </cell>
          <cell r="K24">
            <v>-0.5</v>
          </cell>
          <cell r="L24">
            <v>-0.5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TIRRUP"/>
      <sheetName val="SHEAR-C"/>
      <sheetName val="Symbol"/>
      <sheetName val="Unit Weight"/>
      <sheetName val="SPLICE"/>
      <sheetName val="PERCENT"/>
      <sheetName val="PERIM"/>
      <sheetName val="BOND"/>
      <sheetName val="HOOK"/>
      <sheetName val="NO-BARS"/>
      <sheetName val="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>
            <v>1.4137166941154069</v>
          </cell>
          <cell r="C9">
            <v>3.1808625617596658</v>
          </cell>
          <cell r="D9">
            <v>3.9269908169872414</v>
          </cell>
          <cell r="E9">
            <v>5.6548667764616276</v>
          </cell>
          <cell r="F9">
            <v>8.8357293382212934</v>
          </cell>
          <cell r="G9">
            <v>10.05309649148734</v>
          </cell>
          <cell r="H9">
            <v>14.176436849323942</v>
          </cell>
          <cell r="I9">
            <v>15.707963267948966</v>
          </cell>
          <cell r="J9">
            <v>24.543692606170257</v>
          </cell>
          <cell r="K9">
            <v>30.787608005179969</v>
          </cell>
          <cell r="L9">
            <v>40.212385965949359</v>
          </cell>
        </row>
        <row r="24">
          <cell r="B24">
            <v>5.6548667764616276</v>
          </cell>
          <cell r="C24">
            <v>12.723450247038663</v>
          </cell>
          <cell r="D24">
            <v>15.707963267948966</v>
          </cell>
          <cell r="E24">
            <v>22.61946710584651</v>
          </cell>
          <cell r="F24">
            <v>35.342917352885173</v>
          </cell>
          <cell r="G24">
            <v>40.212385965949359</v>
          </cell>
          <cell r="H24">
            <v>56.705747397295767</v>
          </cell>
          <cell r="I24">
            <v>62.831853071795862</v>
          </cell>
          <cell r="J24">
            <v>98.174770424681029</v>
          </cell>
          <cell r="K24">
            <v>123.15043202071988</v>
          </cell>
          <cell r="L24">
            <v>160.84954386379744</v>
          </cell>
        </row>
        <row r="73">
          <cell r="L73" t="str">
            <v xml:space="preserve"> 5#</v>
          </cell>
        </row>
        <row r="76">
          <cell r="L76" t="str">
            <v xml:space="preserve"> 20#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 sz="9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BX249"/>
  <sheetViews>
    <sheetView showGridLines="0" tabSelected="1" zoomScale="150" zoomScaleNormal="150" workbookViewId="0">
      <selection activeCell="J5" sqref="J5"/>
    </sheetView>
  </sheetViews>
  <sheetFormatPr defaultColWidth="6.796875" defaultRowHeight="10.5"/>
  <cols>
    <col min="1" max="1" width="4.796875" style="12" customWidth="1"/>
    <col min="2" max="2" width="13.59765625" style="12" customWidth="1"/>
    <col min="3" max="3" width="14" style="12" customWidth="1"/>
    <col min="4" max="4" width="12.59765625" style="12" customWidth="1"/>
    <col min="5" max="5" width="11.796875" style="12" customWidth="1"/>
    <col min="6" max="6" width="12" style="12" customWidth="1"/>
    <col min="7" max="7" width="12.3984375" style="12" customWidth="1"/>
    <col min="8" max="8" width="7.19921875" style="12" customWidth="1"/>
    <col min="9" max="9" width="12.19921875" style="12" customWidth="1"/>
    <col min="10" max="10" width="9.19921875" style="12" customWidth="1"/>
    <col min="11" max="11" width="12.19921875" style="12" customWidth="1"/>
    <col min="12" max="12" width="11.3984375" style="12" customWidth="1"/>
    <col min="13" max="14" width="6.796875" style="12"/>
    <col min="15" max="15" width="10.59765625" style="12" bestFit="1" customWidth="1"/>
    <col min="16" max="16" width="11" style="12" customWidth="1"/>
    <col min="17" max="17" width="4.3984375" style="12" customWidth="1"/>
    <col min="18" max="18" width="13.796875" style="12" customWidth="1"/>
    <col min="19" max="29" width="6.796875" style="12"/>
    <col min="30" max="30" width="8.19921875" style="12" customWidth="1"/>
    <col min="31" max="35" width="6.796875" style="12"/>
    <col min="36" max="36" width="8.59765625" style="12" customWidth="1"/>
    <col min="37" max="16384" width="6.796875" style="12"/>
  </cols>
  <sheetData>
    <row r="1" spans="1:15" ht="15.75" customHeight="1">
      <c r="A1" s="231" t="s">
        <v>86</v>
      </c>
      <c r="B1" s="232"/>
      <c r="C1" s="232"/>
      <c r="D1" s="232"/>
      <c r="E1" s="232"/>
      <c r="F1" s="232"/>
      <c r="G1" s="232"/>
      <c r="H1" s="232"/>
      <c r="I1" s="232"/>
      <c r="J1" s="232"/>
      <c r="K1" s="233"/>
      <c r="L1" s="11"/>
    </row>
    <row r="2" spans="1:15" ht="15" customHeight="1">
      <c r="A2" s="13" t="s">
        <v>113</v>
      </c>
      <c r="B2" s="14"/>
      <c r="C2" s="236"/>
      <c r="D2" s="237"/>
      <c r="E2" s="237"/>
      <c r="F2" s="238"/>
      <c r="G2" s="15" t="s">
        <v>88</v>
      </c>
      <c r="H2" s="16" t="s">
        <v>0</v>
      </c>
      <c r="I2" s="242"/>
      <c r="J2" s="243"/>
      <c r="K2" s="244"/>
      <c r="L2" s="17"/>
      <c r="M2" s="18"/>
      <c r="N2" s="18"/>
      <c r="O2" s="18"/>
    </row>
    <row r="3" spans="1:15" ht="13.5" customHeight="1">
      <c r="A3" s="19" t="s">
        <v>122</v>
      </c>
      <c r="B3" s="20"/>
      <c r="C3" s="236"/>
      <c r="D3" s="237"/>
      <c r="E3" s="237"/>
      <c r="F3" s="238"/>
      <c r="G3" s="21" t="s">
        <v>89</v>
      </c>
      <c r="H3" s="22" t="s">
        <v>0</v>
      </c>
      <c r="I3" s="245"/>
      <c r="J3" s="246"/>
      <c r="K3" s="247"/>
      <c r="L3" s="23"/>
      <c r="M3" s="18"/>
      <c r="N3" s="18"/>
      <c r="O3" s="18"/>
    </row>
    <row r="4" spans="1:15" ht="13.5" customHeight="1">
      <c r="A4" s="24" t="s">
        <v>121</v>
      </c>
      <c r="B4" s="25"/>
      <c r="C4" s="239"/>
      <c r="D4" s="240"/>
      <c r="E4" s="240"/>
      <c r="F4" s="241"/>
      <c r="G4" s="26" t="s">
        <v>90</v>
      </c>
      <c r="H4" s="26" t="s">
        <v>0</v>
      </c>
      <c r="I4" s="248">
        <f ca="1">NOW()</f>
        <v>40624.505825694447</v>
      </c>
      <c r="J4" s="249"/>
      <c r="K4" s="250"/>
      <c r="L4" s="18" t="s">
        <v>132</v>
      </c>
      <c r="N4" s="18"/>
      <c r="O4" s="18"/>
    </row>
    <row r="5" spans="1:15" ht="15" customHeight="1">
      <c r="A5" s="27" t="s">
        <v>91</v>
      </c>
      <c r="B5" s="28" t="s">
        <v>27</v>
      </c>
      <c r="C5" s="29"/>
      <c r="D5" s="29"/>
      <c r="E5" s="29"/>
      <c r="F5" s="29"/>
      <c r="G5" s="29"/>
      <c r="H5" s="29"/>
      <c r="I5" s="30"/>
      <c r="J5" s="30"/>
      <c r="K5" s="31"/>
      <c r="L5" s="32"/>
      <c r="M5" s="12" t="s">
        <v>133</v>
      </c>
      <c r="N5" s="33"/>
      <c r="O5" s="33"/>
    </row>
    <row r="6" spans="1:15" ht="15.75" customHeight="1">
      <c r="A6" s="34"/>
      <c r="B6" s="35" t="s">
        <v>26</v>
      </c>
      <c r="C6" s="36"/>
      <c r="D6" s="37"/>
      <c r="E6" s="38"/>
      <c r="F6" s="38"/>
      <c r="G6" s="38"/>
      <c r="H6" s="39" t="s">
        <v>0</v>
      </c>
      <c r="I6" s="40"/>
      <c r="J6" s="6" t="s">
        <v>130</v>
      </c>
      <c r="K6" s="41"/>
      <c r="L6" s="42"/>
      <c r="M6" s="43"/>
      <c r="N6" s="43"/>
      <c r="O6" s="43"/>
    </row>
    <row r="7" spans="1:15" ht="13.5" customHeight="1">
      <c r="A7" s="34"/>
      <c r="B7" s="35" t="s">
        <v>28</v>
      </c>
      <c r="C7" s="36"/>
      <c r="D7" s="36"/>
      <c r="E7" s="38"/>
      <c r="F7" s="38"/>
      <c r="G7" s="38"/>
      <c r="H7" s="39" t="s">
        <v>0</v>
      </c>
      <c r="I7" s="40"/>
      <c r="J7" s="44">
        <f>IF($J$6="SR 24",1200,IF($J$6="SD 30",1500,IF($J$6="SD 40",1700,1700)))</f>
        <v>1500</v>
      </c>
      <c r="K7" s="45" t="s">
        <v>1</v>
      </c>
      <c r="L7" s="46"/>
      <c r="M7" s="43"/>
      <c r="N7" s="43"/>
      <c r="O7" s="43"/>
    </row>
    <row r="8" spans="1:15" ht="12.75" customHeight="1">
      <c r="A8" s="34"/>
      <c r="B8" s="35" t="s">
        <v>87</v>
      </c>
      <c r="C8" s="36"/>
      <c r="D8" s="36"/>
      <c r="E8" s="38"/>
      <c r="F8" s="38"/>
      <c r="G8" s="38"/>
      <c r="H8" s="39" t="s">
        <v>0</v>
      </c>
      <c r="I8" s="47"/>
      <c r="J8" s="48">
        <v>2040000</v>
      </c>
      <c r="K8" s="45" t="s">
        <v>1</v>
      </c>
      <c r="L8" s="46"/>
      <c r="M8" s="43"/>
      <c r="N8" s="43"/>
      <c r="O8" s="43"/>
    </row>
    <row r="9" spans="1:15" ht="12.75" customHeight="1">
      <c r="A9" s="34"/>
      <c r="B9" s="35" t="s">
        <v>31</v>
      </c>
      <c r="C9" s="36"/>
      <c r="D9" s="36"/>
      <c r="E9" s="38"/>
      <c r="F9" s="38"/>
      <c r="G9" s="38"/>
      <c r="H9" s="39" t="s">
        <v>0</v>
      </c>
      <c r="I9" s="40"/>
      <c r="J9" s="6">
        <v>180</v>
      </c>
      <c r="K9" s="45" t="s">
        <v>1</v>
      </c>
      <c r="L9" s="46"/>
      <c r="M9" s="43"/>
      <c r="N9" s="43"/>
      <c r="O9" s="43"/>
    </row>
    <row r="10" spans="1:15" ht="13.5" customHeight="1">
      <c r="A10" s="34"/>
      <c r="B10" s="35" t="s">
        <v>119</v>
      </c>
      <c r="C10" s="36"/>
      <c r="D10" s="36"/>
      <c r="E10" s="38"/>
      <c r="F10" s="38"/>
      <c r="G10" s="38"/>
      <c r="H10" s="39" t="s">
        <v>0</v>
      </c>
      <c r="I10" s="40"/>
      <c r="J10" s="6">
        <v>0.375</v>
      </c>
      <c r="K10" s="41"/>
      <c r="L10" s="42"/>
      <c r="M10" s="43"/>
      <c r="N10" s="43"/>
      <c r="O10" s="43"/>
    </row>
    <row r="11" spans="1:15" ht="13.5" customHeight="1">
      <c r="A11" s="34"/>
      <c r="B11" s="35" t="s">
        <v>32</v>
      </c>
      <c r="C11" s="36"/>
      <c r="D11" s="36"/>
      <c r="E11" s="38"/>
      <c r="F11" s="38"/>
      <c r="G11" s="38"/>
      <c r="H11" s="39" t="s">
        <v>0</v>
      </c>
      <c r="I11" s="40"/>
      <c r="J11" s="8">
        <f>$J$9*$J$10</f>
        <v>67.5</v>
      </c>
      <c r="K11" s="45" t="s">
        <v>1</v>
      </c>
      <c r="L11" s="46"/>
      <c r="M11" s="43"/>
      <c r="N11" s="43"/>
      <c r="O11" s="43"/>
    </row>
    <row r="12" spans="1:15" ht="13.5" customHeight="1">
      <c r="A12" s="34"/>
      <c r="B12" s="35" t="s">
        <v>33</v>
      </c>
      <c r="C12" s="36"/>
      <c r="D12" s="36"/>
      <c r="E12" s="38"/>
      <c r="F12" s="38"/>
      <c r="G12" s="38"/>
      <c r="H12" s="39" t="s">
        <v>0</v>
      </c>
      <c r="I12" s="40"/>
      <c r="J12" s="44">
        <f>15210*SQRT($J$9)</f>
        <v>204063.56362663081</v>
      </c>
      <c r="K12" s="45" t="s">
        <v>1</v>
      </c>
      <c r="L12" s="46"/>
      <c r="M12" s="43"/>
      <c r="N12" s="43"/>
      <c r="O12" s="43"/>
    </row>
    <row r="13" spans="1:15" ht="14.25" customHeight="1">
      <c r="A13" s="34"/>
      <c r="B13" s="35" t="s">
        <v>2</v>
      </c>
      <c r="C13" s="49" t="s">
        <v>3</v>
      </c>
      <c r="D13" s="35" t="s">
        <v>120</v>
      </c>
      <c r="E13" s="38"/>
      <c r="F13" s="38"/>
      <c r="G13" s="38"/>
      <c r="H13" s="39" t="s">
        <v>0</v>
      </c>
      <c r="I13" s="40"/>
      <c r="J13" s="44">
        <f>ROUND($J$8/$J$12,0)</f>
        <v>10</v>
      </c>
      <c r="K13" s="41"/>
      <c r="L13" s="42"/>
      <c r="M13" s="50"/>
      <c r="N13" s="50"/>
      <c r="O13" s="50"/>
    </row>
    <row r="14" spans="1:15" ht="12" customHeight="1">
      <c r="A14" s="34"/>
      <c r="B14" s="35" t="s">
        <v>4</v>
      </c>
      <c r="C14" s="49" t="s">
        <v>3</v>
      </c>
      <c r="D14" s="35" t="s">
        <v>55</v>
      </c>
      <c r="E14" s="38"/>
      <c r="F14" s="38"/>
      <c r="G14" s="38"/>
      <c r="H14" s="39" t="s">
        <v>0</v>
      </c>
      <c r="I14" s="40"/>
      <c r="J14" s="9">
        <f>1/(1+$J$7/($J$13*$J$11))</f>
        <v>0.31034482758620691</v>
      </c>
      <c r="K14" s="41"/>
      <c r="L14" s="42"/>
      <c r="M14" s="43"/>
      <c r="N14" s="43"/>
      <c r="O14" s="43"/>
    </row>
    <row r="15" spans="1:15" ht="11.45" customHeight="1">
      <c r="A15" s="34"/>
      <c r="B15" s="35" t="s">
        <v>5</v>
      </c>
      <c r="C15" s="49" t="s">
        <v>3</v>
      </c>
      <c r="D15" s="35" t="s">
        <v>56</v>
      </c>
      <c r="E15" s="38"/>
      <c r="F15" s="38"/>
      <c r="G15" s="38"/>
      <c r="H15" s="39" t="s">
        <v>0</v>
      </c>
      <c r="I15" s="40"/>
      <c r="J15" s="9">
        <f>1-$J$14/3</f>
        <v>0.89655172413793105</v>
      </c>
      <c r="K15" s="41"/>
      <c r="L15" s="42"/>
      <c r="M15" s="43"/>
      <c r="N15" s="43"/>
      <c r="O15" s="43"/>
    </row>
    <row r="16" spans="1:15" ht="11.45" customHeight="1">
      <c r="A16" s="34"/>
      <c r="B16" s="35" t="s">
        <v>6</v>
      </c>
      <c r="C16" s="49" t="s">
        <v>3</v>
      </c>
      <c r="D16" s="35" t="s">
        <v>25</v>
      </c>
      <c r="E16" s="38"/>
      <c r="F16" s="38"/>
      <c r="G16" s="38"/>
      <c r="H16" s="39" t="s">
        <v>0</v>
      </c>
      <c r="I16" s="40"/>
      <c r="J16" s="8">
        <f>$J$11*$J$14*$J$15/2</f>
        <v>9.3906064209274671</v>
      </c>
      <c r="K16" s="45" t="s">
        <v>1</v>
      </c>
      <c r="L16" s="46"/>
      <c r="M16" s="43"/>
      <c r="N16" s="43"/>
      <c r="O16" s="43"/>
    </row>
    <row r="17" spans="1:76" ht="15" customHeight="1">
      <c r="A17" s="27" t="s">
        <v>92</v>
      </c>
      <c r="B17" s="28" t="s">
        <v>34</v>
      </c>
      <c r="C17" s="38"/>
      <c r="D17" s="38"/>
      <c r="E17" s="51"/>
      <c r="F17" s="52"/>
      <c r="G17" s="52"/>
      <c r="H17" s="38"/>
      <c r="I17" s="17" t="s">
        <v>105</v>
      </c>
      <c r="J17" s="17" t="s">
        <v>104</v>
      </c>
      <c r="K17" s="41"/>
      <c r="L17" s="42"/>
      <c r="M17" s="43"/>
      <c r="N17" s="43"/>
      <c r="O17" s="43"/>
      <c r="P17" s="53"/>
    </row>
    <row r="18" spans="1:76" ht="13.5" customHeight="1">
      <c r="A18" s="54"/>
      <c r="B18" s="35" t="s">
        <v>106</v>
      </c>
      <c r="C18" s="36"/>
      <c r="D18" s="36"/>
      <c r="E18" s="36"/>
      <c r="F18" s="38"/>
      <c r="G18" s="38"/>
      <c r="H18" s="39" t="s">
        <v>0</v>
      </c>
      <c r="I18" s="55">
        <v>2500</v>
      </c>
      <c r="J18" s="56">
        <v>3400</v>
      </c>
      <c r="K18" s="45" t="s">
        <v>7</v>
      </c>
      <c r="L18" s="46"/>
      <c r="M18" s="43"/>
      <c r="N18" s="43"/>
      <c r="O18" s="43"/>
      <c r="P18" s="53"/>
    </row>
    <row r="19" spans="1:76" ht="13.5" customHeight="1">
      <c r="A19" s="54"/>
      <c r="B19" s="35" t="s">
        <v>107</v>
      </c>
      <c r="C19" s="36"/>
      <c r="D19" s="36"/>
      <c r="E19" s="36"/>
      <c r="F19" s="38"/>
      <c r="G19" s="38"/>
      <c r="H19" s="39" t="s">
        <v>0</v>
      </c>
      <c r="I19" s="55">
        <v>3500</v>
      </c>
      <c r="J19" s="56">
        <v>5000</v>
      </c>
      <c r="K19" s="45" t="s">
        <v>8</v>
      </c>
      <c r="L19" s="46"/>
      <c r="M19" s="43"/>
      <c r="N19" s="43"/>
      <c r="O19" s="43"/>
      <c r="P19" s="53"/>
    </row>
    <row r="20" spans="1:76" ht="15" customHeight="1">
      <c r="A20" s="13"/>
      <c r="B20" s="57" t="s">
        <v>118</v>
      </c>
      <c r="C20" s="36"/>
      <c r="D20" s="36"/>
      <c r="E20" s="36"/>
      <c r="F20" s="38"/>
      <c r="G20" s="38"/>
      <c r="H20" s="38"/>
      <c r="I20" s="58"/>
      <c r="J20" s="58"/>
      <c r="K20" s="59"/>
      <c r="L20" s="60"/>
      <c r="M20" s="43"/>
      <c r="N20" s="43"/>
      <c r="O20" s="43"/>
      <c r="P20" s="43"/>
    </row>
    <row r="21" spans="1:76" ht="15.75" customHeight="1">
      <c r="A21" s="34"/>
      <c r="B21" s="205" t="s">
        <v>131</v>
      </c>
      <c r="C21" s="234" t="s">
        <v>35</v>
      </c>
      <c r="D21" s="235"/>
      <c r="E21" s="62" t="s">
        <v>40</v>
      </c>
      <c r="F21" s="38"/>
      <c r="G21" s="38"/>
      <c r="H21" s="58"/>
      <c r="I21" s="38"/>
      <c r="J21" s="58"/>
      <c r="K21" s="59"/>
      <c r="L21" s="60"/>
      <c r="M21" s="43"/>
      <c r="N21" s="43"/>
      <c r="O21" s="43"/>
      <c r="P21" s="43"/>
    </row>
    <row r="22" spans="1:76" ht="15" customHeight="1">
      <c r="A22" s="34"/>
      <c r="B22" s="63">
        <v>1</v>
      </c>
      <c r="C22" s="64" t="s">
        <v>36</v>
      </c>
      <c r="D22" s="61"/>
      <c r="E22" s="65">
        <f>J27/(16)</f>
        <v>0.25</v>
      </c>
      <c r="F22" s="38"/>
      <c r="G22" s="39" t="s">
        <v>9</v>
      </c>
      <c r="H22" s="39" t="s">
        <v>0</v>
      </c>
      <c r="I22" s="40"/>
      <c r="J22" s="7">
        <v>0.2</v>
      </c>
      <c r="K22" s="45" t="s">
        <v>10</v>
      </c>
      <c r="L22" s="46"/>
      <c r="M22" s="43"/>
      <c r="N22" s="43"/>
      <c r="O22" s="43"/>
      <c r="P22" s="43"/>
    </row>
    <row r="23" spans="1:76" ht="15" customHeight="1">
      <c r="A23" s="34"/>
      <c r="B23" s="63">
        <v>2</v>
      </c>
      <c r="C23" s="64" t="s">
        <v>37</v>
      </c>
      <c r="D23" s="61"/>
      <c r="E23" s="65">
        <f>J27/(18.5)</f>
        <v>0.21621621621621623</v>
      </c>
      <c r="F23" s="38"/>
      <c r="G23" s="39" t="s">
        <v>11</v>
      </c>
      <c r="H23" s="39" t="s">
        <v>0</v>
      </c>
      <c r="I23" s="40"/>
      <c r="J23" s="7">
        <v>0.4</v>
      </c>
      <c r="K23" s="45" t="s">
        <v>10</v>
      </c>
      <c r="L23" s="46"/>
      <c r="M23" s="43"/>
      <c r="N23" s="43"/>
      <c r="O23" s="43"/>
      <c r="P23" s="43"/>
    </row>
    <row r="24" spans="1:76" ht="15" customHeight="1">
      <c r="A24" s="34"/>
      <c r="B24" s="63">
        <v>3</v>
      </c>
      <c r="C24" s="64" t="s">
        <v>38</v>
      </c>
      <c r="D24" s="61"/>
      <c r="E24" s="65">
        <f>J27/(21)</f>
        <v>0.19047619047619047</v>
      </c>
      <c r="F24" s="38"/>
      <c r="G24" s="38"/>
      <c r="H24" s="38"/>
      <c r="I24" s="40"/>
      <c r="J24" s="66"/>
      <c r="K24" s="41"/>
      <c r="L24" s="42"/>
      <c r="M24" s="43"/>
      <c r="N24" s="43"/>
      <c r="O24" s="43"/>
      <c r="P24" s="43"/>
    </row>
    <row r="25" spans="1:76" ht="16.5" customHeight="1">
      <c r="A25" s="34"/>
      <c r="B25" s="63">
        <v>4</v>
      </c>
      <c r="C25" s="67" t="s">
        <v>39</v>
      </c>
      <c r="D25" s="68"/>
      <c r="E25" s="65">
        <f>J27/(8)</f>
        <v>0.5</v>
      </c>
      <c r="F25" s="38"/>
      <c r="G25" s="69" t="s">
        <v>62</v>
      </c>
      <c r="H25" s="39" t="s">
        <v>0</v>
      </c>
      <c r="I25" s="40"/>
      <c r="J25" s="6">
        <v>3</v>
      </c>
      <c r="K25" s="216" t="str">
        <f>IF(VLOOKUP($J$25,$B$22:$E$25,3)&lt;=$J$23,"O.K.","แก้ไข")</f>
        <v>O.K.</v>
      </c>
      <c r="L25" s="70"/>
      <c r="M25" s="43"/>
      <c r="N25" s="43"/>
      <c r="O25" s="43"/>
      <c r="P25" s="43"/>
    </row>
    <row r="26" spans="1:76" ht="14.25" customHeight="1">
      <c r="A26" s="34"/>
      <c r="B26" s="35" t="s">
        <v>123</v>
      </c>
      <c r="C26" s="36"/>
      <c r="D26" s="36"/>
      <c r="E26" s="36"/>
      <c r="F26" s="36"/>
      <c r="G26" s="36"/>
      <c r="H26" s="39" t="s">
        <v>0</v>
      </c>
      <c r="I26" s="40"/>
      <c r="J26" s="71">
        <v>0.05</v>
      </c>
      <c r="K26" s="45" t="s">
        <v>10</v>
      </c>
      <c r="L26" s="46"/>
      <c r="M26" s="43"/>
      <c r="N26" s="43"/>
      <c r="O26" s="43"/>
      <c r="P26" s="43"/>
    </row>
    <row r="27" spans="1:76" ht="11.45" customHeight="1">
      <c r="A27" s="34"/>
      <c r="B27" s="35" t="s">
        <v>46</v>
      </c>
      <c r="C27" s="36"/>
      <c r="D27" s="36"/>
      <c r="E27" s="36"/>
      <c r="F27" s="36"/>
      <c r="G27" s="36"/>
      <c r="H27" s="60" t="s">
        <v>0</v>
      </c>
      <c r="I27" s="40"/>
      <c r="J27" s="7">
        <v>4</v>
      </c>
      <c r="K27" s="45" t="s">
        <v>10</v>
      </c>
      <c r="L27" s="46"/>
      <c r="M27" s="43"/>
      <c r="N27" s="43"/>
      <c r="O27" s="43"/>
      <c r="P27" s="43"/>
      <c r="AC27" s="10"/>
      <c r="AD27" s="10"/>
      <c r="AE27" s="10"/>
      <c r="AF27" s="10"/>
      <c r="AG27" s="10"/>
      <c r="AH27" s="10"/>
      <c r="AI27" s="10"/>
      <c r="AJ27" s="10"/>
      <c r="AK27" s="10"/>
      <c r="AL27" s="10" t="s">
        <v>110</v>
      </c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BM27" s="12" t="s">
        <v>111</v>
      </c>
    </row>
    <row r="28" spans="1:76" ht="14.25" customHeight="1">
      <c r="A28" s="27" t="s">
        <v>93</v>
      </c>
      <c r="B28" s="28" t="s">
        <v>108</v>
      </c>
      <c r="C28" s="36"/>
      <c r="D28" s="36"/>
      <c r="E28" s="36"/>
      <c r="F28" s="36"/>
      <c r="G28" s="36"/>
      <c r="H28" s="38"/>
      <c r="I28" s="72" t="s">
        <v>53</v>
      </c>
      <c r="J28" s="73" t="s">
        <v>54</v>
      </c>
      <c r="K28" s="41"/>
      <c r="L28" s="42"/>
      <c r="M28" s="43"/>
      <c r="N28" s="43"/>
      <c r="O28" s="43"/>
      <c r="P28" s="43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1:76" ht="12.75" customHeight="1">
      <c r="A29" s="34"/>
      <c r="B29" s="170" t="s">
        <v>100</v>
      </c>
      <c r="C29" s="171"/>
      <c r="D29" s="192" t="s">
        <v>44</v>
      </c>
      <c r="E29" s="171"/>
      <c r="F29" s="171"/>
      <c r="G29" s="171"/>
      <c r="H29" s="182" t="s">
        <v>0</v>
      </c>
      <c r="I29" s="193">
        <v>8</v>
      </c>
      <c r="J29" s="194">
        <v>8</v>
      </c>
      <c r="K29" s="41" t="s">
        <v>98</v>
      </c>
      <c r="L29" s="42"/>
      <c r="M29" s="43"/>
      <c r="N29" s="43"/>
      <c r="O29" s="43"/>
      <c r="P29" s="43"/>
      <c r="AC29" s="10"/>
      <c r="AD29" s="74" t="s">
        <v>24</v>
      </c>
      <c r="AE29" s="75"/>
      <c r="AF29" s="75"/>
      <c r="AG29" s="75"/>
      <c r="AH29" s="75"/>
      <c r="AI29" s="75"/>
      <c r="AJ29" s="75"/>
      <c r="AK29" s="75"/>
      <c r="AL29" s="75"/>
      <c r="AM29" s="75"/>
      <c r="AN29" s="76"/>
      <c r="AO29" s="74" t="s">
        <v>23</v>
      </c>
      <c r="AP29" s="75"/>
      <c r="AQ29" s="75"/>
      <c r="AR29" s="75"/>
      <c r="AS29" s="75"/>
      <c r="AT29" s="75"/>
      <c r="AU29" s="75"/>
      <c r="AV29" s="75"/>
      <c r="AW29" s="75"/>
      <c r="AX29" s="75"/>
      <c r="AY29" s="76"/>
      <c r="BC29" s="74" t="s">
        <v>24</v>
      </c>
      <c r="BD29" s="75"/>
      <c r="BE29" s="75"/>
      <c r="BF29" s="75"/>
      <c r="BG29" s="75"/>
      <c r="BH29" s="75"/>
      <c r="BI29" s="75"/>
      <c r="BJ29" s="75"/>
      <c r="BK29" s="75"/>
      <c r="BL29" s="75"/>
      <c r="BM29" s="76"/>
      <c r="BN29" s="74" t="s">
        <v>23</v>
      </c>
      <c r="BO29" s="75"/>
      <c r="BP29" s="75"/>
      <c r="BQ29" s="75"/>
      <c r="BR29" s="75"/>
      <c r="BS29" s="75"/>
      <c r="BT29" s="75"/>
      <c r="BU29" s="75"/>
      <c r="BV29" s="75"/>
      <c r="BW29" s="75"/>
      <c r="BX29" s="76"/>
    </row>
    <row r="30" spans="1:76" ht="13.5" customHeight="1">
      <c r="A30" s="34"/>
      <c r="B30" s="195"/>
      <c r="C30" s="178"/>
      <c r="D30" s="196" t="s">
        <v>45</v>
      </c>
      <c r="E30" s="178"/>
      <c r="F30" s="178"/>
      <c r="G30" s="197" t="s">
        <v>97</v>
      </c>
      <c r="H30" s="186" t="s">
        <v>0</v>
      </c>
      <c r="I30" s="198">
        <v>12</v>
      </c>
      <c r="J30" s="199">
        <v>12</v>
      </c>
      <c r="K30" s="77" t="s">
        <v>99</v>
      </c>
      <c r="L30" s="78"/>
      <c r="M30" s="43"/>
      <c r="N30" s="43"/>
      <c r="O30" s="43"/>
      <c r="P30" s="43"/>
      <c r="AC30" s="10"/>
      <c r="AD30" s="79" t="s">
        <v>63</v>
      </c>
      <c r="AE30" s="80"/>
      <c r="AF30" s="80"/>
      <c r="AG30" s="80"/>
      <c r="AH30" s="80"/>
      <c r="AI30" s="80"/>
      <c r="AJ30" s="229" t="s">
        <v>64</v>
      </c>
      <c r="AK30" s="229"/>
      <c r="AL30" s="229"/>
      <c r="AM30" s="229"/>
      <c r="AN30" s="230"/>
      <c r="AO30" s="79" t="s">
        <v>63</v>
      </c>
      <c r="AP30" s="80"/>
      <c r="AQ30" s="80"/>
      <c r="AR30" s="80"/>
      <c r="AS30" s="80"/>
      <c r="AT30" s="80"/>
      <c r="AU30" s="229" t="s">
        <v>65</v>
      </c>
      <c r="AV30" s="229"/>
      <c r="AW30" s="229"/>
      <c r="AX30" s="229"/>
      <c r="AY30" s="230"/>
      <c r="BC30" s="79" t="s">
        <v>63</v>
      </c>
      <c r="BD30" s="80"/>
      <c r="BE30" s="80"/>
      <c r="BF30" s="80"/>
      <c r="BG30" s="80"/>
      <c r="BH30" s="80"/>
      <c r="BI30" s="229" t="s">
        <v>64</v>
      </c>
      <c r="BJ30" s="229"/>
      <c r="BK30" s="229"/>
      <c r="BL30" s="229"/>
      <c r="BM30" s="230"/>
      <c r="BN30" s="79" t="s">
        <v>63</v>
      </c>
      <c r="BO30" s="80"/>
      <c r="BP30" s="80"/>
      <c r="BQ30" s="80"/>
      <c r="BR30" s="80"/>
      <c r="BS30" s="80"/>
      <c r="BT30" s="229" t="s">
        <v>65</v>
      </c>
      <c r="BU30" s="229"/>
      <c r="BV30" s="229"/>
      <c r="BW30" s="229"/>
      <c r="BX30" s="230"/>
    </row>
    <row r="31" spans="1:76" ht="14.25" customHeight="1">
      <c r="A31" s="34"/>
      <c r="B31" s="36"/>
      <c r="C31" s="36"/>
      <c r="D31" s="35"/>
      <c r="E31" s="36"/>
      <c r="F31" s="36"/>
      <c r="G31" s="36"/>
      <c r="H31" s="39" t="s">
        <v>0</v>
      </c>
      <c r="I31" s="81" t="s">
        <v>54</v>
      </c>
      <c r="J31" s="82" t="s">
        <v>53</v>
      </c>
      <c r="K31" s="45"/>
      <c r="L31" s="46"/>
      <c r="M31" s="43"/>
      <c r="N31" s="43"/>
      <c r="O31" s="43"/>
      <c r="P31" s="43"/>
      <c r="AC31" s="10"/>
      <c r="AD31" s="74" t="s">
        <v>66</v>
      </c>
      <c r="AE31" s="75">
        <v>0</v>
      </c>
      <c r="AF31" s="75">
        <v>20</v>
      </c>
      <c r="AG31" s="75">
        <v>20</v>
      </c>
      <c r="AH31" s="75">
        <f>AE31</f>
        <v>0</v>
      </c>
      <c r="AI31" s="75">
        <v>0</v>
      </c>
      <c r="AJ31" s="1">
        <v>22</v>
      </c>
      <c r="AK31" s="1">
        <v>30</v>
      </c>
      <c r="AL31" s="1">
        <v>28</v>
      </c>
      <c r="AM31" s="1">
        <v>28</v>
      </c>
      <c r="AN31" s="2"/>
      <c r="AO31" s="74" t="s">
        <v>66</v>
      </c>
      <c r="AP31" s="75">
        <v>0</v>
      </c>
      <c r="AQ31" s="75">
        <v>20</v>
      </c>
      <c r="AR31" s="75">
        <v>20</v>
      </c>
      <c r="AS31" s="75">
        <f>AP31</f>
        <v>0</v>
      </c>
      <c r="AT31" s="75">
        <v>0</v>
      </c>
      <c r="AU31" s="1">
        <v>0</v>
      </c>
      <c r="AV31" s="1">
        <v>20</v>
      </c>
      <c r="AW31" s="1">
        <v>0</v>
      </c>
      <c r="AX31" s="1">
        <v>0</v>
      </c>
      <c r="AY31" s="2"/>
      <c r="BC31" s="74" t="s">
        <v>66</v>
      </c>
      <c r="BD31" s="75">
        <v>0</v>
      </c>
      <c r="BE31" s="75">
        <v>20</v>
      </c>
      <c r="BF31" s="75">
        <v>20</v>
      </c>
      <c r="BG31" s="75">
        <f>BD31</f>
        <v>0</v>
      </c>
      <c r="BH31" s="75">
        <v>0</v>
      </c>
      <c r="BI31" s="1">
        <v>22</v>
      </c>
      <c r="BJ31" s="1">
        <v>30</v>
      </c>
      <c r="BK31" s="1">
        <v>28</v>
      </c>
      <c r="BL31" s="1">
        <v>28</v>
      </c>
      <c r="BM31" s="2"/>
      <c r="BN31" s="74" t="s">
        <v>66</v>
      </c>
      <c r="BO31" s="75">
        <v>0</v>
      </c>
      <c r="BP31" s="75">
        <v>20</v>
      </c>
      <c r="BQ31" s="75">
        <v>20</v>
      </c>
      <c r="BR31" s="75">
        <f>BO31</f>
        <v>0</v>
      </c>
      <c r="BS31" s="75">
        <v>0</v>
      </c>
      <c r="BT31" s="1">
        <v>0</v>
      </c>
      <c r="BU31" s="1">
        <v>20</v>
      </c>
      <c r="BV31" s="1">
        <v>0</v>
      </c>
      <c r="BW31" s="1">
        <v>0</v>
      </c>
      <c r="BX31" s="2"/>
    </row>
    <row r="32" spans="1:76" ht="13.5" customHeight="1">
      <c r="A32" s="34"/>
      <c r="B32" s="170" t="s">
        <v>101</v>
      </c>
      <c r="C32" s="171"/>
      <c r="D32" s="192" t="s">
        <v>44</v>
      </c>
      <c r="E32" s="171"/>
      <c r="F32" s="171"/>
      <c r="G32" s="171"/>
      <c r="H32" s="182" t="s">
        <v>0</v>
      </c>
      <c r="I32" s="193">
        <v>6</v>
      </c>
      <c r="J32" s="200">
        <v>4</v>
      </c>
      <c r="K32" s="41" t="s">
        <v>98</v>
      </c>
      <c r="L32" s="42"/>
      <c r="M32" s="43"/>
      <c r="N32" s="43"/>
      <c r="O32" s="43"/>
      <c r="P32" s="43"/>
      <c r="AC32" s="10"/>
      <c r="AD32" s="83" t="s">
        <v>67</v>
      </c>
      <c r="AE32" s="84">
        <v>5</v>
      </c>
      <c r="AF32" s="84">
        <v>5</v>
      </c>
      <c r="AG32" s="84">
        <v>55</v>
      </c>
      <c r="AH32" s="84">
        <v>55</v>
      </c>
      <c r="AI32" s="84">
        <v>5</v>
      </c>
      <c r="AJ32" s="3">
        <v>5</v>
      </c>
      <c r="AK32" s="3">
        <v>5</v>
      </c>
      <c r="AL32" s="3">
        <v>5</v>
      </c>
      <c r="AM32" s="3">
        <v>55</v>
      </c>
      <c r="AN32" s="4"/>
      <c r="AO32" s="83" t="s">
        <v>67</v>
      </c>
      <c r="AP32" s="84">
        <v>5</v>
      </c>
      <c r="AQ32" s="84">
        <v>5</v>
      </c>
      <c r="AR32" s="84">
        <v>55</v>
      </c>
      <c r="AS32" s="84">
        <v>55</v>
      </c>
      <c r="AT32" s="84">
        <v>0</v>
      </c>
      <c r="AU32" s="3">
        <v>65</v>
      </c>
      <c r="AV32" s="3">
        <v>65</v>
      </c>
      <c r="AW32" s="3">
        <v>57</v>
      </c>
      <c r="AX32" s="3">
        <v>67</v>
      </c>
      <c r="AY32" s="4"/>
      <c r="BC32" s="83" t="s">
        <v>67</v>
      </c>
      <c r="BD32" s="84">
        <v>5</v>
      </c>
      <c r="BE32" s="84">
        <v>5</v>
      </c>
      <c r="BF32" s="84">
        <v>55</v>
      </c>
      <c r="BG32" s="84">
        <v>55</v>
      </c>
      <c r="BH32" s="84">
        <v>5</v>
      </c>
      <c r="BI32" s="3">
        <v>5</v>
      </c>
      <c r="BJ32" s="3">
        <v>5</v>
      </c>
      <c r="BK32" s="3">
        <v>5</v>
      </c>
      <c r="BL32" s="3">
        <v>55</v>
      </c>
      <c r="BM32" s="4"/>
      <c r="BN32" s="83" t="s">
        <v>67</v>
      </c>
      <c r="BO32" s="84">
        <v>5</v>
      </c>
      <c r="BP32" s="84">
        <v>5</v>
      </c>
      <c r="BQ32" s="84">
        <v>55</v>
      </c>
      <c r="BR32" s="84">
        <v>55</v>
      </c>
      <c r="BS32" s="84">
        <v>0</v>
      </c>
      <c r="BT32" s="3">
        <v>65</v>
      </c>
      <c r="BU32" s="3">
        <v>65</v>
      </c>
      <c r="BV32" s="3">
        <v>57</v>
      </c>
      <c r="BW32" s="3">
        <v>67</v>
      </c>
      <c r="BX32" s="4"/>
    </row>
    <row r="33" spans="1:76" ht="14.25" customHeight="1">
      <c r="A33" s="34"/>
      <c r="B33" s="195"/>
      <c r="C33" s="178"/>
      <c r="D33" s="196" t="s">
        <v>45</v>
      </c>
      <c r="E33" s="178"/>
      <c r="F33" s="178"/>
      <c r="G33" s="201" t="s">
        <v>97</v>
      </c>
      <c r="H33" s="186" t="s">
        <v>0</v>
      </c>
      <c r="I33" s="198">
        <v>12</v>
      </c>
      <c r="J33" s="202">
        <v>12</v>
      </c>
      <c r="K33" s="41" t="s">
        <v>99</v>
      </c>
      <c r="L33" s="42"/>
      <c r="M33" s="43"/>
      <c r="N33" s="43"/>
      <c r="O33" s="43"/>
      <c r="P33" s="43"/>
      <c r="AC33" s="10"/>
      <c r="AD33" s="85" t="s">
        <v>68</v>
      </c>
      <c r="AE33" s="86"/>
      <c r="AF33" s="86"/>
      <c r="AG33" s="86"/>
      <c r="AH33" s="86"/>
      <c r="AI33" s="86"/>
      <c r="AJ33" s="86">
        <v>22</v>
      </c>
      <c r="AK33" s="86">
        <v>30</v>
      </c>
      <c r="AL33" s="86"/>
      <c r="AM33" s="86"/>
      <c r="AN33" s="87"/>
      <c r="AO33" s="85" t="s">
        <v>68</v>
      </c>
      <c r="AP33" s="86"/>
      <c r="AQ33" s="86"/>
      <c r="AR33" s="86"/>
      <c r="AS33" s="86"/>
      <c r="AT33" s="86"/>
      <c r="AU33" s="86">
        <v>20</v>
      </c>
      <c r="AV33" s="86">
        <v>20</v>
      </c>
      <c r="AW33" s="86"/>
      <c r="AX33" s="86"/>
      <c r="AY33" s="87"/>
      <c r="BC33" s="85" t="s">
        <v>68</v>
      </c>
      <c r="BD33" s="86"/>
      <c r="BE33" s="86"/>
      <c r="BF33" s="86"/>
      <c r="BG33" s="86"/>
      <c r="BH33" s="86"/>
      <c r="BI33" s="86">
        <v>22</v>
      </c>
      <c r="BJ33" s="86">
        <v>30</v>
      </c>
      <c r="BK33" s="86"/>
      <c r="BL33" s="86"/>
      <c r="BM33" s="87"/>
      <c r="BN33" s="85" t="s">
        <v>68</v>
      </c>
      <c r="BO33" s="86"/>
      <c r="BP33" s="86"/>
      <c r="BQ33" s="86"/>
      <c r="BR33" s="86"/>
      <c r="BS33" s="86"/>
      <c r="BT33" s="86">
        <v>20</v>
      </c>
      <c r="BU33" s="86">
        <v>20</v>
      </c>
      <c r="BV33" s="86"/>
      <c r="BW33" s="86"/>
      <c r="BX33" s="87"/>
    </row>
    <row r="34" spans="1:76" ht="11.45" customHeight="1">
      <c r="A34" s="34"/>
      <c r="B34" s="35" t="s">
        <v>61</v>
      </c>
      <c r="C34" s="36"/>
      <c r="D34" s="36"/>
      <c r="E34" s="88" t="s">
        <v>52</v>
      </c>
      <c r="F34" s="36"/>
      <c r="G34" s="36"/>
      <c r="H34" s="39" t="s">
        <v>0</v>
      </c>
      <c r="I34" s="203">
        <f>+DPOS-0.05</f>
        <v>0.28100000000000003</v>
      </c>
      <c r="J34" s="204">
        <f>MIN(8*$J$22,IF($J$32=0,$J$23-$J$26-$N$53/1000-$J$30/2000,$J$23-(PI()*($J$30/1000)^2/4*$J$29*($J$26+$N$53/1000+$J$30/2000)+PI()*($J$33/1000)^2/4*J32*($J$26+$N$53/1000+J30/1000+$J$31+$J$33/2000))/(PI()*($J$30/1000)^2/4*$J$29+PI()*($J$33/1000)^2/4*$J$32)))</f>
        <v>0.33100000000000002</v>
      </c>
      <c r="K34" s="45" t="s">
        <v>10</v>
      </c>
      <c r="L34" s="46"/>
      <c r="M34" s="89"/>
      <c r="N34" s="89"/>
      <c r="O34" s="89"/>
      <c r="P34" s="43"/>
      <c r="AC34" s="10"/>
      <c r="AD34" s="74" t="s">
        <v>66</v>
      </c>
      <c r="AE34" s="75">
        <v>2.5</v>
      </c>
      <c r="AF34" s="75">
        <v>17.5</v>
      </c>
      <c r="AG34" s="75">
        <v>17.5</v>
      </c>
      <c r="AH34" s="75">
        <v>2.5</v>
      </c>
      <c r="AI34" s="75">
        <v>2.5</v>
      </c>
      <c r="AJ34" s="75">
        <v>55</v>
      </c>
      <c r="AK34" s="75">
        <v>55</v>
      </c>
      <c r="AL34" s="75"/>
      <c r="AM34" s="75"/>
      <c r="AN34" s="76"/>
      <c r="AO34" s="74" t="s">
        <v>66</v>
      </c>
      <c r="AP34" s="75">
        <v>2.5</v>
      </c>
      <c r="AQ34" s="75">
        <v>17.5</v>
      </c>
      <c r="AR34" s="75">
        <v>17.5</v>
      </c>
      <c r="AS34" s="75">
        <v>2.5</v>
      </c>
      <c r="AT34" s="75">
        <v>2.5</v>
      </c>
      <c r="AU34" s="75">
        <v>57</v>
      </c>
      <c r="AV34" s="75">
        <v>67</v>
      </c>
      <c r="AW34" s="75"/>
      <c r="AX34" s="75"/>
      <c r="AY34" s="76"/>
      <c r="BC34" s="74" t="s">
        <v>66</v>
      </c>
      <c r="BD34" s="75">
        <v>2.5</v>
      </c>
      <c r="BE34" s="75">
        <v>17.5</v>
      </c>
      <c r="BF34" s="75">
        <v>17.5</v>
      </c>
      <c r="BG34" s="75">
        <v>2.5</v>
      </c>
      <c r="BH34" s="75">
        <v>2.5</v>
      </c>
      <c r="BI34" s="75">
        <v>55</v>
      </c>
      <c r="BJ34" s="75">
        <v>55</v>
      </c>
      <c r="BK34" s="75"/>
      <c r="BL34" s="75"/>
      <c r="BM34" s="76"/>
      <c r="BN34" s="74" t="s">
        <v>66</v>
      </c>
      <c r="BO34" s="75">
        <v>2.5</v>
      </c>
      <c r="BP34" s="75">
        <v>17.5</v>
      </c>
      <c r="BQ34" s="75">
        <v>17.5</v>
      </c>
      <c r="BR34" s="75">
        <v>2.5</v>
      </c>
      <c r="BS34" s="75">
        <v>2.5</v>
      </c>
      <c r="BT34" s="75">
        <v>57</v>
      </c>
      <c r="BU34" s="75">
        <v>67</v>
      </c>
      <c r="BV34" s="75"/>
      <c r="BW34" s="75"/>
      <c r="BX34" s="76"/>
    </row>
    <row r="35" spans="1:76" ht="16.5">
      <c r="A35" s="34"/>
      <c r="B35" s="35" t="s">
        <v>96</v>
      </c>
      <c r="C35" s="49" t="s">
        <v>3</v>
      </c>
      <c r="D35" s="35" t="s">
        <v>51</v>
      </c>
      <c r="E35" s="90"/>
      <c r="F35" s="36"/>
      <c r="G35" s="36"/>
      <c r="H35" s="39" t="s">
        <v>0</v>
      </c>
      <c r="I35" s="47"/>
      <c r="J35" s="206">
        <f>IF($J$27/$J$23&lt;=30,$J$16*$J$22*($J$34*100)^2,(1.75-$J$23/40/$J$27)*$J$16*$J$22*($J$34*100)^2)</f>
        <v>2057.6884601664688</v>
      </c>
      <c r="K35" s="45" t="s">
        <v>7</v>
      </c>
      <c r="L35" s="46"/>
      <c r="M35" s="89"/>
      <c r="N35" s="89"/>
      <c r="O35" s="89"/>
      <c r="P35" s="43"/>
      <c r="AC35" s="10"/>
      <c r="AD35" s="83" t="s">
        <v>67</v>
      </c>
      <c r="AE35" s="84">
        <v>8</v>
      </c>
      <c r="AF35" s="84">
        <v>8</v>
      </c>
      <c r="AG35" s="84">
        <v>52.5</v>
      </c>
      <c r="AH35" s="84">
        <v>52.5</v>
      </c>
      <c r="AI35" s="84">
        <v>8</v>
      </c>
      <c r="AJ35" s="84"/>
      <c r="AK35" s="84"/>
      <c r="AL35" s="84"/>
      <c r="AM35" s="84"/>
      <c r="AN35" s="91"/>
      <c r="AO35" s="83" t="s">
        <v>67</v>
      </c>
      <c r="AP35" s="84">
        <v>8</v>
      </c>
      <c r="AQ35" s="84">
        <v>8</v>
      </c>
      <c r="AR35" s="84">
        <v>52.5</v>
      </c>
      <c r="AS35" s="84">
        <v>52.5</v>
      </c>
      <c r="AT35" s="84">
        <v>8</v>
      </c>
      <c r="AU35" s="84"/>
      <c r="AV35" s="84"/>
      <c r="AW35" s="84"/>
      <c r="AX35" s="84"/>
      <c r="AY35" s="91"/>
      <c r="BC35" s="83" t="s">
        <v>67</v>
      </c>
      <c r="BD35" s="84">
        <v>8</v>
      </c>
      <c r="BE35" s="84">
        <v>8</v>
      </c>
      <c r="BF35" s="84">
        <v>52.5</v>
      </c>
      <c r="BG35" s="84">
        <v>52.5</v>
      </c>
      <c r="BH35" s="84">
        <v>8</v>
      </c>
      <c r="BI35" s="84"/>
      <c r="BJ35" s="84"/>
      <c r="BK35" s="84"/>
      <c r="BL35" s="84"/>
      <c r="BM35" s="91"/>
      <c r="BN35" s="83" t="s">
        <v>67</v>
      </c>
      <c r="BO35" s="84">
        <v>8</v>
      </c>
      <c r="BP35" s="84">
        <v>8</v>
      </c>
      <c r="BQ35" s="84">
        <v>52.5</v>
      </c>
      <c r="BR35" s="84">
        <v>52.5</v>
      </c>
      <c r="BS35" s="84">
        <v>8</v>
      </c>
      <c r="BT35" s="84"/>
      <c r="BU35" s="84"/>
      <c r="BV35" s="84"/>
      <c r="BW35" s="84"/>
      <c r="BX35" s="91"/>
    </row>
    <row r="36" spans="1:76" ht="15" customHeight="1">
      <c r="A36" s="34"/>
      <c r="B36" s="170" t="s">
        <v>102</v>
      </c>
      <c r="C36" s="171"/>
      <c r="D36" s="171"/>
      <c r="E36" s="171"/>
      <c r="F36" s="171"/>
      <c r="G36" s="171"/>
      <c r="H36" s="182" t="s">
        <v>0</v>
      </c>
      <c r="I36" s="227" t="str">
        <f>IF($J$18&lt;$J$35,"Single Reinforced","Double Reinforced")</f>
        <v>Double Reinforced</v>
      </c>
      <c r="J36" s="228"/>
      <c r="K36" s="41"/>
      <c r="L36" s="42"/>
      <c r="M36" s="89"/>
      <c r="N36" s="89"/>
      <c r="O36" s="89"/>
      <c r="P36" s="43"/>
      <c r="AC36" s="10"/>
      <c r="AD36" s="79"/>
      <c r="AE36" s="80"/>
      <c r="AF36" s="80" t="s">
        <v>69</v>
      </c>
      <c r="AG36" s="80"/>
      <c r="AH36" s="80"/>
      <c r="AI36" s="80"/>
      <c r="AJ36" s="80"/>
      <c r="AK36" s="80"/>
      <c r="AL36" s="80" t="s">
        <v>70</v>
      </c>
      <c r="AM36" s="80"/>
      <c r="AN36" s="92"/>
      <c r="AO36" s="79"/>
      <c r="AP36" s="80"/>
      <c r="AQ36" s="80" t="s">
        <v>69</v>
      </c>
      <c r="AR36" s="80"/>
      <c r="AS36" s="80"/>
      <c r="AT36" s="80"/>
      <c r="AU36" s="80"/>
      <c r="AV36" s="80"/>
      <c r="AW36" s="80" t="s">
        <v>70</v>
      </c>
      <c r="AX36" s="80"/>
      <c r="AY36" s="92"/>
      <c r="BC36" s="79"/>
      <c r="BD36" s="80"/>
      <c r="BE36" s="80" t="s">
        <v>69</v>
      </c>
      <c r="BF36" s="80"/>
      <c r="BG36" s="80"/>
      <c r="BH36" s="80"/>
      <c r="BI36" s="80"/>
      <c r="BJ36" s="80"/>
      <c r="BK36" s="80" t="s">
        <v>70</v>
      </c>
      <c r="BL36" s="80"/>
      <c r="BM36" s="92"/>
      <c r="BN36" s="79"/>
      <c r="BO36" s="80"/>
      <c r="BP36" s="80" t="s">
        <v>69</v>
      </c>
      <c r="BQ36" s="80"/>
      <c r="BR36" s="80"/>
      <c r="BS36" s="80"/>
      <c r="BT36" s="80"/>
      <c r="BU36" s="80"/>
      <c r="BV36" s="80" t="s">
        <v>70</v>
      </c>
      <c r="BW36" s="80"/>
      <c r="BX36" s="92"/>
    </row>
    <row r="37" spans="1:76" ht="13.5" customHeight="1">
      <c r="A37" s="93"/>
      <c r="B37" s="172" t="s">
        <v>41</v>
      </c>
      <c r="C37" s="36"/>
      <c r="D37" s="36"/>
      <c r="E37" s="36"/>
      <c r="F37" s="36"/>
      <c r="G37" s="36"/>
      <c r="H37" s="38"/>
      <c r="I37" s="46" t="s">
        <v>42</v>
      </c>
      <c r="J37" s="183" t="s">
        <v>43</v>
      </c>
      <c r="K37" s="45"/>
      <c r="L37" s="46"/>
      <c r="M37" s="89"/>
      <c r="N37" s="89"/>
      <c r="O37" s="89"/>
      <c r="P37" s="43"/>
      <c r="AC37" s="10"/>
      <c r="AD37" s="85" t="s">
        <v>71</v>
      </c>
      <c r="AE37" s="86"/>
      <c r="AF37" s="86" t="s">
        <v>72</v>
      </c>
      <c r="AG37" s="86"/>
      <c r="AH37" s="86" t="s">
        <v>73</v>
      </c>
      <c r="AI37" s="86"/>
      <c r="AJ37" s="86"/>
      <c r="AK37" s="86">
        <f>IF(OR($J$29=14,$J$29=11),3,0)</f>
        <v>0</v>
      </c>
      <c r="AL37" s="86">
        <f>IF($J$29=14,6.8,0)</f>
        <v>0</v>
      </c>
      <c r="AM37" s="86">
        <f>IF($J$29=14,13.2,0)</f>
        <v>0</v>
      </c>
      <c r="AN37" s="87">
        <f>IF(OR($J$29=14,$J$29=11),17,0)</f>
        <v>0</v>
      </c>
      <c r="AO37" s="85" t="s">
        <v>71</v>
      </c>
      <c r="AP37" s="86"/>
      <c r="AQ37" s="86" t="s">
        <v>72</v>
      </c>
      <c r="AR37" s="86"/>
      <c r="AS37" s="86" t="s">
        <v>73</v>
      </c>
      <c r="AT37" s="86"/>
      <c r="AU37" s="86"/>
      <c r="AV37" s="86">
        <f>IF(OR($I$29=14,$I$29=11),3,0)</f>
        <v>0</v>
      </c>
      <c r="AW37" s="86">
        <f>IF($I$29=14,6.8,0)</f>
        <v>0</v>
      </c>
      <c r="AX37" s="86">
        <f>IF($I$29=14,13.2,0)</f>
        <v>0</v>
      </c>
      <c r="AY37" s="87">
        <f>IF(OR($I$29=14,$I$29=11),17,0)</f>
        <v>0</v>
      </c>
      <c r="BC37" s="85" t="s">
        <v>71</v>
      </c>
      <c r="BD37" s="86"/>
      <c r="BE37" s="86" t="s">
        <v>72</v>
      </c>
      <c r="BF37" s="86"/>
      <c r="BG37" s="86" t="s">
        <v>73</v>
      </c>
      <c r="BH37" s="86"/>
      <c r="BI37" s="86"/>
      <c r="BJ37" s="86">
        <f>IF(OR($J$32=14,$J$32=11),3,0)</f>
        <v>0</v>
      </c>
      <c r="BK37" s="86">
        <f>IF($J$32=14,6.8,0)</f>
        <v>0</v>
      </c>
      <c r="BL37" s="86">
        <f>IF($J$32=14,13.2,0)</f>
        <v>0</v>
      </c>
      <c r="BM37" s="87">
        <f>IF(OR($J$32=14,$J$32=11),17,0)</f>
        <v>0</v>
      </c>
      <c r="BN37" s="85" t="s">
        <v>71</v>
      </c>
      <c r="BO37" s="86"/>
      <c r="BP37" s="86" t="s">
        <v>72</v>
      </c>
      <c r="BQ37" s="86"/>
      <c r="BR37" s="86" t="s">
        <v>73</v>
      </c>
      <c r="BS37" s="86"/>
      <c r="BT37" s="86"/>
      <c r="BU37" s="86">
        <f>IF(OR($I$32=14,$I$32=11),3,0)</f>
        <v>0</v>
      </c>
      <c r="BV37" s="86">
        <f>IF($I$32=14,6.8,0)</f>
        <v>0</v>
      </c>
      <c r="BW37" s="86">
        <f>IF($I$32=14,13.2,0)</f>
        <v>0</v>
      </c>
      <c r="BX37" s="87">
        <f>IF(OR($I$32=14,$I$32=11),17,0)</f>
        <v>0</v>
      </c>
    </row>
    <row r="38" spans="1:76" ht="11.45" customHeight="1">
      <c r="A38" s="34"/>
      <c r="B38" s="173" t="s">
        <v>24</v>
      </c>
      <c r="C38" s="49" t="s">
        <v>3</v>
      </c>
      <c r="D38" s="94" t="str">
        <f>IF($I$36="Single Reinforced"," M/[fs·j·d]"," Mr/[fs·j·d] + (M-Mr)/[fs·(d-d')]")</f>
        <v xml:space="preserve"> Mr/[fs·j·d] + (M-Mr)/[fs·(d-d')]</v>
      </c>
      <c r="E38" s="36"/>
      <c r="F38" s="36"/>
      <c r="G38" s="36"/>
      <c r="H38" s="39" t="s">
        <v>0</v>
      </c>
      <c r="I38" s="184">
        <f>IF($I$36="Single Reinforced",$J$18/($J$7*$J$15*$J$34),$J$35/($J$7*$J$15*$J$34)+($J$18-$J$35)/($J$7*$I$34))</f>
        <v>7.8071924698468038</v>
      </c>
      <c r="J38" s="185">
        <f>(PI())*(($J$30)^2)*($J$29)/400</f>
        <v>9.0477868423386045</v>
      </c>
      <c r="K38" s="95" t="str">
        <f>IF($I$38&lt;=$J$38,"O.K",IF($I$38/$J$38&lt;=1.05,"อนุโลม","แก้ไข"))</f>
        <v>O.K</v>
      </c>
      <c r="L38" s="96"/>
      <c r="M38" s="89"/>
      <c r="N38" s="89"/>
      <c r="O38" s="89"/>
      <c r="P38" s="43"/>
      <c r="AC38" s="10"/>
      <c r="AD38" s="85">
        <v>1</v>
      </c>
      <c r="AE38" s="86">
        <v>2</v>
      </c>
      <c r="AF38" s="86">
        <v>3</v>
      </c>
      <c r="AG38" s="86">
        <v>4</v>
      </c>
      <c r="AH38" s="86">
        <v>5</v>
      </c>
      <c r="AI38" s="86"/>
      <c r="AJ38" s="86"/>
      <c r="AK38" s="86">
        <f>IF(OR($J$29=14,$J$29=11),14.2,0)</f>
        <v>0</v>
      </c>
      <c r="AL38" s="86">
        <f>IF($J$29=14,14.2,0)</f>
        <v>0</v>
      </c>
      <c r="AM38" s="86">
        <f>IF($J$29=14,14.2,0)</f>
        <v>0</v>
      </c>
      <c r="AN38" s="87">
        <f>IF(OR($J$29=14,$J$29=11),14.2,0)</f>
        <v>0</v>
      </c>
      <c r="AO38" s="85">
        <v>1</v>
      </c>
      <c r="AP38" s="86">
        <v>2</v>
      </c>
      <c r="AQ38" s="86">
        <v>3</v>
      </c>
      <c r="AR38" s="86">
        <v>4</v>
      </c>
      <c r="AS38" s="86">
        <v>5</v>
      </c>
      <c r="AT38" s="86"/>
      <c r="AU38" s="86"/>
      <c r="AV38" s="86">
        <f>IF(OR($I$29=14,$I$29=11),46,0)</f>
        <v>0</v>
      </c>
      <c r="AW38" s="86">
        <f>IF($I$29=14,46,0)</f>
        <v>0</v>
      </c>
      <c r="AX38" s="86">
        <f>IF($I$29=14,46,0)</f>
        <v>0</v>
      </c>
      <c r="AY38" s="87">
        <f>IF(OR($I$29=14,$I$29=11),46,0)</f>
        <v>0</v>
      </c>
      <c r="BC38" s="85">
        <v>1</v>
      </c>
      <c r="BD38" s="86">
        <v>2</v>
      </c>
      <c r="BE38" s="86">
        <v>3</v>
      </c>
      <c r="BF38" s="86">
        <v>4</v>
      </c>
      <c r="BG38" s="86">
        <v>5</v>
      </c>
      <c r="BH38" s="86"/>
      <c r="BI38" s="86"/>
      <c r="BJ38" s="86">
        <f>IF(OR($J$32=14,$J$32=11),14.2,0)</f>
        <v>0</v>
      </c>
      <c r="BK38" s="86">
        <f>IF($J$32=14,14.2,0)</f>
        <v>0</v>
      </c>
      <c r="BL38" s="86">
        <f>IF($J$32=14,14.2,0)</f>
        <v>0</v>
      </c>
      <c r="BM38" s="87">
        <f>IF(OR($J$32=14,$J$32=11),14.2,0)</f>
        <v>0</v>
      </c>
      <c r="BN38" s="85">
        <v>1</v>
      </c>
      <c r="BO38" s="86">
        <v>2</v>
      </c>
      <c r="BP38" s="86">
        <v>3</v>
      </c>
      <c r="BQ38" s="86">
        <v>4</v>
      </c>
      <c r="BR38" s="86">
        <v>5</v>
      </c>
      <c r="BS38" s="86"/>
      <c r="BT38" s="86"/>
      <c r="BU38" s="86">
        <f>IF(OR($I$32=14,$I$32=11),46,0)</f>
        <v>0</v>
      </c>
      <c r="BV38" s="86">
        <f>IF($I$32=14,46,0)</f>
        <v>0</v>
      </c>
      <c r="BW38" s="86">
        <f>IF($I$32=14,46,0)</f>
        <v>0</v>
      </c>
      <c r="BX38" s="87">
        <f>IF(OR($I$32=14,$I$32=11),46,0)</f>
        <v>0</v>
      </c>
    </row>
    <row r="39" spans="1:76" ht="11.45" customHeight="1">
      <c r="A39" s="34"/>
      <c r="B39" s="173" t="s">
        <v>23</v>
      </c>
      <c r="C39" s="49" t="s">
        <v>3</v>
      </c>
      <c r="D39" s="94" t="str">
        <f>IF($I$36="Single Reinforced","","(M-Mr)/fs/(d-d')/2·(1-k)/(k-d'/d)")</f>
        <v>(M-Mr)/fs/(d-d')/2·(1-k)/(k-d'/d)</v>
      </c>
      <c r="E39" s="36"/>
      <c r="F39" s="36"/>
      <c r="G39" s="36"/>
      <c r="H39" s="39" t="s">
        <v>0</v>
      </c>
      <c r="I39" s="184">
        <f>IF($I$36="Single Reinforced",0,($J$18-$J$35)/2/$J$7/$I$34*($J$34-$J$14*$J$34)/($J$14*$J$34-($J$34-$I$34)))</f>
        <v>6.8940789603435766</v>
      </c>
      <c r="J39" s="185">
        <f>PI()/4*(($I$29*($I$30/10)^2))</f>
        <v>9.0477868423386045</v>
      </c>
      <c r="K39" s="97" t="str">
        <f>IF($I$39&lt;=$J$39,"O.K",IF($I$39/$J$39&lt;=1.05,"อนุโลม","แก้ไข"))</f>
        <v>O.K</v>
      </c>
      <c r="L39" s="98"/>
      <c r="M39" s="89"/>
      <c r="N39" s="89"/>
      <c r="O39" s="89"/>
      <c r="P39" s="43"/>
      <c r="R39" s="99"/>
      <c r="AC39" s="10"/>
      <c r="AD39" s="85">
        <f>IF(OR(OR(OR(OR(OR(OR(OR($J$29=5,$J$29=7),$J$29=9),$J$29=10),$J$29=11),$J$29=13),$J$29=14),$J$29=15),3,0)</f>
        <v>0</v>
      </c>
      <c r="AE39" s="86">
        <f>IF(OR(OR(OR(OR(OR(OR(OR($J$29=5,$J$29=7),$J$29=9),$J$29=10),$J$29=11),$J$29=13),$J$29=14),$J$29=15),6.8,0)</f>
        <v>0</v>
      </c>
      <c r="AF39" s="86">
        <f>IF(OR(OR(OR(OR(OR(OR(OR($J$29=5,$J$29=7),$J$29=9),$J$29=10),$J$29=11),$J$29=13),$J$29=14),$J$29=15),10,0)</f>
        <v>0</v>
      </c>
      <c r="AG39" s="86">
        <f>IF(OR(OR(OR(OR(OR(OR(OR($J$29=5,$J$29=7),$J$29=9),$J$29=10),$J$29=11),$J$29=13),$J$29=14),$J$29=15),13.2,0)</f>
        <v>0</v>
      </c>
      <c r="AH39" s="86">
        <f>IF(OR(OR(OR(OR(OR(OR(OR($J$29=5,$J$29=7),$J$29=9),$J$29=10),$J$29=11),$J$29=13),$J$29=14),$J$29=15),17,0)</f>
        <v>0</v>
      </c>
      <c r="AI39" s="86"/>
      <c r="AJ39" s="86"/>
      <c r="AK39" s="86"/>
      <c r="AL39" s="86" t="s">
        <v>74</v>
      </c>
      <c r="AM39" s="86"/>
      <c r="AN39" s="87"/>
      <c r="AO39" s="85">
        <f>IF(OR(OR(OR(OR(OR(OR(OR($I$29=5,$I$29=7),$I$29=9),$I$29=10),$I$29=11),$I$29=13),$I$29=14),$I$29=15),3,0)</f>
        <v>0</v>
      </c>
      <c r="AP39" s="86">
        <f>IF(OR(OR(OR(OR(OR(OR(OR($I$29=5,$I$29=7),$I$29=9),$I$29=10),$I$29=11),$I$29=13),$I$29=14),$I$29=15),6.8,0)</f>
        <v>0</v>
      </c>
      <c r="AQ39" s="86">
        <f>IF(OR(OR(OR(OR(OR(OR(OR($I$29=5,$I$29=7),$I$29=9),$I$29=10),$I$29=11),$I$29=13),$I$29=14),$I$29=15),10,0)</f>
        <v>0</v>
      </c>
      <c r="AR39" s="86">
        <f>IF(OR(OR(OR(OR(OR(OR(OR($I$29=5,$I$29=7),$I$29=9),$I$29=10),$I$29=11),$I$29=13),$I$29=14),$I$29=15),13.2,0)</f>
        <v>0</v>
      </c>
      <c r="AS39" s="86">
        <f>IF(OR(OR(OR(OR(OR(OR(OR($I$29=5,$I$29=7),$I$29=9),$I$29=10),$I$29=11),$I$29=13),$I$29=14),$I$29=15),17,0)</f>
        <v>0</v>
      </c>
      <c r="AT39" s="86"/>
      <c r="AU39" s="86"/>
      <c r="AV39" s="86"/>
      <c r="AW39" s="86" t="s">
        <v>74</v>
      </c>
      <c r="AX39" s="86"/>
      <c r="AY39" s="87"/>
      <c r="BC39" s="85">
        <f>IF(OR(OR(OR(OR(OR(OR(OR($J$32=5,$J$32=7),$J$32=9),$J$32=10),$J$32=11),$J$32=13),$J$32=14),$J$32=15),3,0)</f>
        <v>0</v>
      </c>
      <c r="BD39" s="86">
        <f>IF(OR(OR(OR(OR(OR(OR(OR($J$32=5,$J$32=7),$J$32=9),$J$32=10),$J$32=11),$J$32=13),$J$32=14),$J$32=15),6.8,0)</f>
        <v>0</v>
      </c>
      <c r="BE39" s="86">
        <f>IF(OR(OR(OR(OR(OR(OR(OR($J$32=5,$J$32=7),$J$32=9),$J$32=10),$J$32=11),$J$32=13),$J$32=14),$J$32=15),10,0)</f>
        <v>0</v>
      </c>
      <c r="BF39" s="86">
        <f>IF(OR(OR(OR(OR(OR(OR(OR($J$32=5,$J$32=7),$J$32=9),$J$32=10),$J$32=11),$J$32=13),$J$32=14),$J$32=15),13.2,0)</f>
        <v>0</v>
      </c>
      <c r="BG39" s="86">
        <f>IF(OR(OR(OR(OR(OR(OR(OR($J$32=5,$J$32=7),$J$32=9),$J$32=10),$J$32=11),$J$32=13),$J$32=14),$J$32=15),17,0)</f>
        <v>0</v>
      </c>
      <c r="BH39" s="86"/>
      <c r="BI39" s="86"/>
      <c r="BJ39" s="86"/>
      <c r="BK39" s="86" t="s">
        <v>74</v>
      </c>
      <c r="BL39" s="86"/>
      <c r="BM39" s="87"/>
      <c r="BN39" s="85">
        <f>IF(OR(OR(OR(OR(OR(OR(OR($I$32=5,$I$32=7),$I$32=9),$I$32=10),$I$32=11),$I$32=13),$I$32=14),$I$32=15),3,0)</f>
        <v>0</v>
      </c>
      <c r="BO39" s="86">
        <f>IF(OR(OR(OR(OR(OR(OR(OR($I$32=5,$I$32=7),$I$32=9),$I$32=10),$I$32=11),$I$32=13),$I$32=14),$I$32=15),6.8,0)</f>
        <v>0</v>
      </c>
      <c r="BP39" s="86">
        <f>IF(OR(OR(OR(OR(OR(OR(OR($I$32=5,$I$32=7),$I$32=9),$I$32=10),$I$32=11),$I$32=13),$I$32=14),$I$32=15),10,0)</f>
        <v>0</v>
      </c>
      <c r="BQ39" s="86">
        <f>IF(OR(OR(OR(OR(OR(OR(OR($I$32=5,$I$32=7),$I$32=9),$I$32=10),$I$32=11),$I$32=13),$I$32=14),$I$32=15),13.2,0)</f>
        <v>0</v>
      </c>
      <c r="BR39" s="86">
        <f>IF(OR(OR(OR(OR(OR(OR(OR($I$32=5,$I$32=7),$I$32=9),$I$32=10),$I$32=11),$I$32=13),$I$32=14),$I$32=15),17,0)</f>
        <v>0</v>
      </c>
      <c r="BS39" s="86"/>
      <c r="BT39" s="86"/>
      <c r="BU39" s="86"/>
      <c r="BV39" s="86" t="s">
        <v>74</v>
      </c>
      <c r="BW39" s="86"/>
      <c r="BX39" s="87"/>
    </row>
    <row r="40" spans="1:76" ht="11.45" customHeight="1">
      <c r="A40" s="34"/>
      <c r="B40" s="173" t="s">
        <v>29</v>
      </c>
      <c r="C40" s="49" t="s">
        <v>3</v>
      </c>
      <c r="D40" s="94" t="str">
        <f>IF($J$38&gt;=1.34*$I$38," 1.34·Ads( 4 )"," 14/fy·[b·d]")</f>
        <v xml:space="preserve"> 14/fy·[b·d]</v>
      </c>
      <c r="E40" s="100"/>
      <c r="F40" s="36"/>
      <c r="G40" s="36"/>
      <c r="H40" s="39"/>
      <c r="I40" s="184">
        <f>14/(IF($J$6="SR 24",2400,IF($J$6="SD 30",3000,IF($J$6="SD 40",4000,5000))))*$J$22*$J$34*10000</f>
        <v>3.0893333333333337</v>
      </c>
      <c r="J40" s="185">
        <f>$J$38</f>
        <v>9.0477868423386045</v>
      </c>
      <c r="K40" s="95" t="str">
        <f>IF($I$40&lt;=$J$40,"O.K",IF($I$40/$J$40&lt;=1.1,"อนุโลม","แก้ไข"))</f>
        <v>O.K</v>
      </c>
      <c r="L40" s="96"/>
      <c r="M40" s="101"/>
      <c r="N40" s="101"/>
      <c r="O40" s="101"/>
      <c r="P40" s="50"/>
      <c r="AC40" s="10"/>
      <c r="AD40" s="85">
        <f>IF(OR(OR(OR(OR(OR(OR(OR($J$29=5,$J$29=7),$J$29=9),$J$29=10),$J$29=11),$J$29=13),$J$29=14),$J$29=15),8.7,0)</f>
        <v>0</v>
      </c>
      <c r="AE40" s="86">
        <f t="shared" ref="AE40:AH40" si="0">IF(OR(OR(OR(OR(OR(OR(OR($J$29=5,$J$29=7),$J$29=9),$J$29=10),$J$29=11),$J$29=13),$J$29=14),$J$29=15),8.7,0)</f>
        <v>0</v>
      </c>
      <c r="AF40" s="86">
        <f t="shared" si="0"/>
        <v>0</v>
      </c>
      <c r="AG40" s="86">
        <f t="shared" si="0"/>
        <v>0</v>
      </c>
      <c r="AH40" s="86">
        <f t="shared" si="0"/>
        <v>0</v>
      </c>
      <c r="AI40" s="86"/>
      <c r="AJ40" s="86"/>
      <c r="AK40" s="86">
        <f>IF($J$29=11,3,0)</f>
        <v>0</v>
      </c>
      <c r="AL40" s="86">
        <f>IF($J$29=11,6.8,0)</f>
        <v>0</v>
      </c>
      <c r="AM40" s="86">
        <f>IF($J$29=11,13.2,0)</f>
        <v>0</v>
      </c>
      <c r="AN40" s="87">
        <f>IF($J$29=11,17,0)</f>
        <v>0</v>
      </c>
      <c r="AO40" s="85">
        <f>IF(OR(OR(OR(OR(OR(OR(OR($I$29=5,$I$29=7),$I$29=9),$I$29=10),$I$29=11),$I$29=13),$I$29=14),$I$29=15),51.5,0)</f>
        <v>0</v>
      </c>
      <c r="AP40" s="86">
        <f t="shared" ref="AP40:AS40" si="1">IF(OR(OR(OR(OR(OR(OR(OR($I$29=5,$I$29=7),$I$29=9),$I$29=10),$I$29=11),$I$29=13),$I$29=14),$I$29=15),51.5,0)</f>
        <v>0</v>
      </c>
      <c r="AQ40" s="86">
        <f t="shared" si="1"/>
        <v>0</v>
      </c>
      <c r="AR40" s="86">
        <f t="shared" si="1"/>
        <v>0</v>
      </c>
      <c r="AS40" s="86">
        <f t="shared" si="1"/>
        <v>0</v>
      </c>
      <c r="AT40" s="86"/>
      <c r="AU40" s="86"/>
      <c r="AV40" s="86">
        <f>IF($I$29=11,3,0)</f>
        <v>0</v>
      </c>
      <c r="AW40" s="86">
        <f>IF($I$29=11,6.8,0)</f>
        <v>0</v>
      </c>
      <c r="AX40" s="86">
        <f>IF($I$29=11,13.2,0)</f>
        <v>0</v>
      </c>
      <c r="AY40" s="87">
        <f>IF($I$29=11,17,0)</f>
        <v>0</v>
      </c>
      <c r="BC40" s="85">
        <f>IF(OR(OR(OR(OR(OR(OR(OR($J$32=5,$J$32=7),$J$32=9),$J$32=10),$J$32=11),$J$32=13),$J$32=14),$J$32=15),8.7,0)</f>
        <v>0</v>
      </c>
      <c r="BD40" s="86">
        <f t="shared" ref="BD40:BG40" si="2">IF(OR(OR(OR(OR(OR(OR(OR($J$32=5,$J$32=7),$J$32=9),$J$32=10),$J$32=11),$J$32=13),$J$32=14),$J$32=15),8.7,0)</f>
        <v>0</v>
      </c>
      <c r="BE40" s="86">
        <f t="shared" si="2"/>
        <v>0</v>
      </c>
      <c r="BF40" s="86">
        <f t="shared" si="2"/>
        <v>0</v>
      </c>
      <c r="BG40" s="86">
        <f t="shared" si="2"/>
        <v>0</v>
      </c>
      <c r="BH40" s="86"/>
      <c r="BI40" s="86"/>
      <c r="BJ40" s="86">
        <f>IF($J$32=11,3,0)</f>
        <v>0</v>
      </c>
      <c r="BK40" s="86">
        <f>IF($J$32=11,6.8,0)</f>
        <v>0</v>
      </c>
      <c r="BL40" s="86">
        <f>IF($J$32=11,13.2,0)</f>
        <v>0</v>
      </c>
      <c r="BM40" s="87">
        <f>IF($J$32=11,17,0)</f>
        <v>0</v>
      </c>
      <c r="BN40" s="85">
        <f>IF(OR(OR(OR(OR(OR(OR(OR($I$32=5,$I$32=7),$I$32=9),$I$32=10),$I$32=11),$I$32=13),$I$32=14),$I$32=15),51.5,0)</f>
        <v>0</v>
      </c>
      <c r="BO40" s="86">
        <f t="shared" ref="BO40:BR40" si="3">IF(OR(OR(OR(OR(OR(OR(OR($I$32=5,$I$32=7),$I$32=9),$I$32=10),$I$32=11),$I$32=13),$I$32=14),$I$32=15),51.5,0)</f>
        <v>0</v>
      </c>
      <c r="BP40" s="86">
        <f t="shared" si="3"/>
        <v>0</v>
      </c>
      <c r="BQ40" s="86">
        <f t="shared" si="3"/>
        <v>0</v>
      </c>
      <c r="BR40" s="86">
        <f t="shared" si="3"/>
        <v>0</v>
      </c>
      <c r="BS40" s="86"/>
      <c r="BT40" s="86"/>
      <c r="BU40" s="86">
        <f>IF($I$32=11,3,0)</f>
        <v>0</v>
      </c>
      <c r="BV40" s="86">
        <f>IF($I$32=11,6.8,0)</f>
        <v>0</v>
      </c>
      <c r="BW40" s="86">
        <f>IF($I$32=11,13.2,0)</f>
        <v>0</v>
      </c>
      <c r="BX40" s="87">
        <f>IF($I$32=11,17,0)</f>
        <v>0</v>
      </c>
    </row>
    <row r="41" spans="1:76" ht="11.45" customHeight="1">
      <c r="A41" s="34"/>
      <c r="B41" s="175" t="s">
        <v>29</v>
      </c>
      <c r="C41" s="176" t="s">
        <v>3</v>
      </c>
      <c r="D41" s="179" t="str">
        <f>IF(AND(OR(AND(OR(AND($J$25=1,$J$23/$J$27&gt;2/5),$J$25=2),$J$23/$J$27&gt;4/5),$J$25=3),$J$23/$J$27&gt;4/5)," 0.0025·b·D","")</f>
        <v/>
      </c>
      <c r="E41" s="177"/>
      <c r="F41" s="178"/>
      <c r="G41" s="178"/>
      <c r="H41" s="186" t="s">
        <v>0</v>
      </c>
      <c r="I41" s="187" t="str">
        <f>IF(AND(OR(AND(OR(AND($J$25=1,$J$23/$J$27&gt;2/5),$J$25=2),$J$23/$J$27&gt;4/5),$J$25=3),$J$23/$J$27&gt;4/5),0.0025*$J$22*$J$23*100*100,"")</f>
        <v/>
      </c>
      <c r="J41" s="188">
        <f>MIN($J$38,$J$39)</f>
        <v>9.0477868423386045</v>
      </c>
      <c r="K41" s="95" t="str">
        <f>IF($I$41&lt;=$J$41,"O.K",IF($I$41/$J$41&lt;=1.1,"อนุโลม","แก้ไข"))</f>
        <v>O.K</v>
      </c>
      <c r="L41" s="96"/>
      <c r="M41" s="89"/>
      <c r="N41" s="89"/>
      <c r="O41" s="89"/>
      <c r="P41" s="43"/>
      <c r="AC41" s="10"/>
      <c r="AD41" s="85"/>
      <c r="AE41" s="86"/>
      <c r="AF41" s="86" t="s">
        <v>75</v>
      </c>
      <c r="AG41" s="86"/>
      <c r="AH41" s="86"/>
      <c r="AI41" s="86"/>
      <c r="AJ41" s="86"/>
      <c r="AK41" s="86">
        <f>IF($J$29=11,11.5,0)</f>
        <v>0</v>
      </c>
      <c r="AL41" s="86">
        <f>IF($J$29=11,11.5,0)</f>
        <v>0</v>
      </c>
      <c r="AM41" s="86">
        <f>IF($J$29=11,11.5,0)</f>
        <v>0</v>
      </c>
      <c r="AN41" s="87">
        <f>IF($J$29=11,11.5,0)</f>
        <v>0</v>
      </c>
      <c r="AO41" s="85"/>
      <c r="AP41" s="86"/>
      <c r="AQ41" s="86" t="s">
        <v>75</v>
      </c>
      <c r="AR41" s="86"/>
      <c r="AS41" s="86"/>
      <c r="AT41" s="86"/>
      <c r="AU41" s="86"/>
      <c r="AV41" s="86">
        <f>IF($I$29=11,49,0)</f>
        <v>0</v>
      </c>
      <c r="AW41" s="86">
        <f t="shared" ref="AW41:AY41" si="4">IF($I$29=11,49,0)</f>
        <v>0</v>
      </c>
      <c r="AX41" s="86">
        <f t="shared" si="4"/>
        <v>0</v>
      </c>
      <c r="AY41" s="86">
        <f t="shared" si="4"/>
        <v>0</v>
      </c>
      <c r="BC41" s="85"/>
      <c r="BD41" s="86"/>
      <c r="BE41" s="86" t="s">
        <v>75</v>
      </c>
      <c r="BF41" s="86"/>
      <c r="BG41" s="86"/>
      <c r="BH41" s="86"/>
      <c r="BI41" s="86"/>
      <c r="BJ41" s="86">
        <f>IF($J$32=11,11.5,0)</f>
        <v>0</v>
      </c>
      <c r="BK41" s="86">
        <f>IF($J$32=11,11.5,0)</f>
        <v>0</v>
      </c>
      <c r="BL41" s="86">
        <f>IF($J$32=11,11.5,0)</f>
        <v>0</v>
      </c>
      <c r="BM41" s="87">
        <f>IF($J$32=11,11.5,0)</f>
        <v>0</v>
      </c>
      <c r="BN41" s="85"/>
      <c r="BO41" s="86"/>
      <c r="BP41" s="86" t="s">
        <v>75</v>
      </c>
      <c r="BQ41" s="86"/>
      <c r="BR41" s="86"/>
      <c r="BS41" s="86"/>
      <c r="BT41" s="86"/>
      <c r="BU41" s="86">
        <f>IF($I$32=11,49,0)</f>
        <v>0</v>
      </c>
      <c r="BV41" s="86">
        <f>IF($I$32=11,49,0)</f>
        <v>0</v>
      </c>
      <c r="BW41" s="86">
        <f>IF($I$32=11,49,0)</f>
        <v>0</v>
      </c>
      <c r="BX41" s="86">
        <f>IF($I$32=11,49,0)</f>
        <v>0</v>
      </c>
    </row>
    <row r="42" spans="1:76" ht="13.5" customHeight="1">
      <c r="A42" s="102"/>
      <c r="B42" s="181"/>
      <c r="C42" s="181"/>
      <c r="D42" s="181"/>
      <c r="E42" s="181"/>
      <c r="F42" s="181"/>
      <c r="G42" s="181"/>
      <c r="H42" s="103"/>
      <c r="I42" s="103"/>
      <c r="J42" s="103"/>
      <c r="K42" s="104"/>
      <c r="L42" s="105"/>
      <c r="M42" s="89"/>
      <c r="N42" s="89"/>
      <c r="O42" s="89"/>
      <c r="P42" s="43"/>
      <c r="AC42" s="10"/>
      <c r="AD42" s="85"/>
      <c r="AE42" s="86"/>
      <c r="AF42" s="86"/>
      <c r="AG42" s="86"/>
      <c r="AH42" s="86"/>
      <c r="AI42" s="86"/>
      <c r="AJ42" s="86"/>
      <c r="AK42" s="86"/>
      <c r="AL42" s="86"/>
      <c r="AM42" s="86"/>
      <c r="AN42" s="87"/>
      <c r="AO42" s="85"/>
      <c r="AP42" s="86"/>
      <c r="AQ42" s="86"/>
      <c r="AR42" s="86"/>
      <c r="AS42" s="86"/>
      <c r="AT42" s="86"/>
      <c r="AU42" s="86"/>
      <c r="AV42" s="86"/>
      <c r="AW42" s="86"/>
      <c r="AX42" s="86"/>
      <c r="AY42" s="87"/>
      <c r="BC42" s="85"/>
      <c r="BD42" s="86"/>
      <c r="BE42" s="86"/>
      <c r="BF42" s="86"/>
      <c r="BG42" s="86"/>
      <c r="BH42" s="86"/>
      <c r="BI42" s="86"/>
      <c r="BJ42" s="86"/>
      <c r="BK42" s="86"/>
      <c r="BL42" s="86"/>
      <c r="BM42" s="87"/>
      <c r="BN42" s="85"/>
      <c r="BO42" s="86"/>
      <c r="BP42" s="86"/>
      <c r="BQ42" s="86"/>
      <c r="BR42" s="86"/>
      <c r="BS42" s="86"/>
      <c r="BT42" s="86"/>
      <c r="BU42" s="86"/>
      <c r="BV42" s="86"/>
      <c r="BW42" s="86"/>
      <c r="BX42" s="87"/>
    </row>
    <row r="43" spans="1:76" ht="13.5" customHeight="1">
      <c r="A43" s="102"/>
      <c r="B43" s="170" t="s">
        <v>103</v>
      </c>
      <c r="C43" s="180"/>
      <c r="D43" s="180"/>
      <c r="E43" s="180"/>
      <c r="F43" s="180"/>
      <c r="G43" s="180"/>
      <c r="H43" s="189"/>
      <c r="I43" s="227" t="str">
        <f>IF($I$18&lt;$J$35,"Single Reinforced","Double Reinforced")</f>
        <v>Double Reinforced</v>
      </c>
      <c r="J43" s="228"/>
      <c r="K43" s="104"/>
      <c r="L43" s="105"/>
      <c r="M43" s="89"/>
      <c r="N43" s="89"/>
      <c r="O43" s="89"/>
      <c r="P43" s="43"/>
      <c r="AC43" s="10"/>
      <c r="AD43" s="85">
        <v>1</v>
      </c>
      <c r="AE43" s="86">
        <v>2</v>
      </c>
      <c r="AF43" s="86">
        <v>3</v>
      </c>
      <c r="AG43" s="86">
        <v>4</v>
      </c>
      <c r="AH43" s="86">
        <v>5</v>
      </c>
      <c r="AI43" s="86"/>
      <c r="AJ43" s="86"/>
      <c r="AK43" s="86"/>
      <c r="AL43" s="86" t="s">
        <v>76</v>
      </c>
      <c r="AM43" s="86"/>
      <c r="AN43" s="87"/>
      <c r="AO43" s="85">
        <v>1</v>
      </c>
      <c r="AP43" s="86">
        <v>2</v>
      </c>
      <c r="AQ43" s="86">
        <v>3</v>
      </c>
      <c r="AR43" s="86">
        <v>4</v>
      </c>
      <c r="AS43" s="86">
        <v>5</v>
      </c>
      <c r="AT43" s="86"/>
      <c r="AU43" s="86"/>
      <c r="AV43" s="86"/>
      <c r="AW43" s="86" t="s">
        <v>76</v>
      </c>
      <c r="AX43" s="86"/>
      <c r="AY43" s="87"/>
      <c r="BC43" s="85">
        <v>1</v>
      </c>
      <c r="BD43" s="86">
        <v>2</v>
      </c>
      <c r="BE43" s="86">
        <v>3</v>
      </c>
      <c r="BF43" s="86">
        <v>4</v>
      </c>
      <c r="BG43" s="86">
        <v>5</v>
      </c>
      <c r="BH43" s="86"/>
      <c r="BI43" s="86"/>
      <c r="BJ43" s="86"/>
      <c r="BK43" s="86" t="s">
        <v>76</v>
      </c>
      <c r="BL43" s="86"/>
      <c r="BM43" s="87"/>
      <c r="BN43" s="85">
        <v>1</v>
      </c>
      <c r="BO43" s="86">
        <v>2</v>
      </c>
      <c r="BP43" s="86">
        <v>3</v>
      </c>
      <c r="BQ43" s="86">
        <v>4</v>
      </c>
      <c r="BR43" s="86">
        <v>5</v>
      </c>
      <c r="BS43" s="86"/>
      <c r="BT43" s="86"/>
      <c r="BU43" s="86"/>
      <c r="BV43" s="86" t="s">
        <v>76</v>
      </c>
      <c r="BW43" s="86"/>
      <c r="BX43" s="87"/>
    </row>
    <row r="44" spans="1:76" ht="13.5" customHeight="1">
      <c r="A44" s="102"/>
      <c r="B44" s="172" t="s">
        <v>41</v>
      </c>
      <c r="C44" s="174"/>
      <c r="D44" s="174"/>
      <c r="E44" s="174"/>
      <c r="F44" s="174"/>
      <c r="G44" s="174"/>
      <c r="H44" s="23"/>
      <c r="I44" s="46" t="s">
        <v>42</v>
      </c>
      <c r="J44" s="183" t="s">
        <v>43</v>
      </c>
      <c r="K44" s="104"/>
      <c r="L44" s="105"/>
      <c r="M44" s="89"/>
      <c r="N44" s="89"/>
      <c r="O44" s="89"/>
      <c r="P44" s="43"/>
      <c r="AC44" s="10"/>
      <c r="AD44" s="85">
        <f>IF(OR(OR(OR($J$29=10,$J$29=13),$J$29=14),$J$29=15),3,0)</f>
        <v>0</v>
      </c>
      <c r="AE44" s="86">
        <f>IF(OR(OR(OR($J$29=10,$J$29=13),$J$29=14),$J$29=15),6.8,0)</f>
        <v>0</v>
      </c>
      <c r="AF44" s="86">
        <f>IF(OR(OR(OR($J$29=10,$J$29=13),$J$29=14),$J$29=15),10,0)</f>
        <v>0</v>
      </c>
      <c r="AG44" s="86">
        <f>IF(OR(OR(OR($J$29=10,$J$29=13),$J$29=14),$J$29=15),13.2,0)</f>
        <v>0</v>
      </c>
      <c r="AH44" s="86">
        <f>IF(OR(OR(OR($J$29=10,$J$29=13),$J$29=14),$J$29=15),17,0)</f>
        <v>0</v>
      </c>
      <c r="AI44" s="86"/>
      <c r="AJ44" s="86"/>
      <c r="AK44" s="86">
        <f>IF($J$29=2,3,0)</f>
        <v>0</v>
      </c>
      <c r="AL44" s="86"/>
      <c r="AM44" s="86"/>
      <c r="AN44" s="87">
        <f>IF($J$29=2,17,0)</f>
        <v>0</v>
      </c>
      <c r="AO44" s="85">
        <f>IF(OR(OR(OR($I$29=10,$I$29=13),$I$29=14),$I$29=15),3,0)</f>
        <v>0</v>
      </c>
      <c r="AP44" s="86">
        <f>IF(OR(OR(OR($I$29=10,$I$29=13),$I$29=14),$I$29=15),6.8,0)</f>
        <v>0</v>
      </c>
      <c r="AQ44" s="86">
        <f>IF(OR(OR(OR($I$29=10,$I$29=13),$I$29=14),$I$29=15),10,0)</f>
        <v>0</v>
      </c>
      <c r="AR44" s="86">
        <f>IF(OR(OR(OR($I$29=10,$I$29=13),$I$29=14),$I$29=15),13.2,0)</f>
        <v>0</v>
      </c>
      <c r="AS44" s="86">
        <f>IF(OR(OR(OR($I$29=10,$I$29=13),$I$29=14),$I$29=15),17,0)</f>
        <v>0</v>
      </c>
      <c r="AT44" s="86"/>
      <c r="AU44" s="86"/>
      <c r="AV44" s="86">
        <f>IF($I$29=2,3,0)</f>
        <v>0</v>
      </c>
      <c r="AW44" s="86"/>
      <c r="AX44" s="86"/>
      <c r="AY44" s="87">
        <f>IF($I$29=2,17,0)</f>
        <v>0</v>
      </c>
      <c r="BC44" s="85">
        <f>IF(OR(OR(OR($J$32=10,$J$32=13),$J$32=14),$J$32=15),3,0)</f>
        <v>0</v>
      </c>
      <c r="BD44" s="86">
        <f>IF(OR(OR(OR($J$32=10,$J$32=13),$J$32=14),$J$32=15),6.8,0)</f>
        <v>0</v>
      </c>
      <c r="BE44" s="86">
        <f>IF(OR(OR(OR($J$32=10,$J$32=13),$J$32=14),$J$32=15),10,0)</f>
        <v>0</v>
      </c>
      <c r="BF44" s="86">
        <f>IF(OR(OR(OR($J$32=10,$J$32=13),$J$32=14),$J$32=15),13.2,0)</f>
        <v>0</v>
      </c>
      <c r="BG44" s="86">
        <f>IF(OR(OR(OR($J$32=10,$J$32=13),$J$32=14),$J$32=15),17,0)</f>
        <v>0</v>
      </c>
      <c r="BH44" s="86"/>
      <c r="BI44" s="86"/>
      <c r="BJ44" s="86">
        <f>IF($J$32=2,3,0)</f>
        <v>0</v>
      </c>
      <c r="BK44" s="86"/>
      <c r="BL44" s="86"/>
      <c r="BM44" s="87">
        <f>IF($J$32=2,17,0)</f>
        <v>0</v>
      </c>
      <c r="BN44" s="85">
        <f>IF(OR(OR(OR($I$32=10,$I$32=13),$I$32=14),$I$32=15),3,0)</f>
        <v>0</v>
      </c>
      <c r="BO44" s="86">
        <f>IF(OR(OR(OR($I$32=10,$I$32=13),$I$32=14),$I$32=15),6.8,0)</f>
        <v>0</v>
      </c>
      <c r="BP44" s="86">
        <f>IF(OR(OR(OR($I$32=10,$I$32=13),$I$32=14),$I$32=15),10,0)</f>
        <v>0</v>
      </c>
      <c r="BQ44" s="86">
        <f>IF(OR(OR(OR($I$32=10,$I$32=13),$I$32=14),$I$32=15),13.2,0)</f>
        <v>0</v>
      </c>
      <c r="BR44" s="86">
        <f>IF(OR(OR(OR($I$32=10,$I$32=13),$I$32=14),$I$32=15),17,0)</f>
        <v>0</v>
      </c>
      <c r="BS44" s="86"/>
      <c r="BT44" s="86"/>
      <c r="BU44" s="86">
        <f>IF($I$32=2,3,0)</f>
        <v>0</v>
      </c>
      <c r="BV44" s="86"/>
      <c r="BW44" s="86"/>
      <c r="BX44" s="87">
        <f>IF($I$32=2,17,0)</f>
        <v>0</v>
      </c>
    </row>
    <row r="45" spans="1:76" ht="13.5" customHeight="1">
      <c r="A45" s="102"/>
      <c r="B45" s="173" t="s">
        <v>24</v>
      </c>
      <c r="C45" s="49" t="s">
        <v>3</v>
      </c>
      <c r="D45" s="94" t="str">
        <f>IF(I43="Single Reinforced"," M/[fs·j·d]"," Mr/[fs·j·d] + (M-Mr)/[fs·(d-d')]")</f>
        <v xml:space="preserve"> Mr/[fs·j·d] + (M-Mr)/[fs·(d-d')]</v>
      </c>
      <c r="E45" s="36"/>
      <c r="F45" s="36"/>
      <c r="G45" s="36"/>
      <c r="H45" s="39" t="s">
        <v>0</v>
      </c>
      <c r="I45" s="184">
        <f>IF($I$43="Single Reinforced",$I$18/($J$7*$J$15*$J$34),$J$35/($J$7*$J$15*$J$34)+($I$18-$J$35)/($J$7*$I$34))</f>
        <v>5.6719611531208258</v>
      </c>
      <c r="J45" s="185">
        <f>(PI())*(($I$33)^2)*($I$32)/400</f>
        <v>6.785840131753953</v>
      </c>
      <c r="K45" s="95" t="str">
        <f>IF($I$45&lt;=$J$45,"O.K",IF($I$45/$J$45&lt;=1.05,"อนุโลม","แก้ไข"))</f>
        <v>O.K</v>
      </c>
      <c r="L45" s="96"/>
      <c r="M45" s="43"/>
      <c r="N45" s="43"/>
      <c r="O45" s="43"/>
      <c r="P45" s="43"/>
      <c r="AC45" s="10"/>
      <c r="AD45" s="85">
        <f>IF(OR(OR(OR($J$29=10,$J$29=13),$J$29=14),$J$29=15),11.5,0)</f>
        <v>0</v>
      </c>
      <c r="AE45" s="86">
        <f t="shared" ref="AE45:AH45" si="5">IF(OR(OR(OR($J$29=10,$J$29=13),$J$29=14),$J$29=15),11.5,0)</f>
        <v>0</v>
      </c>
      <c r="AF45" s="86">
        <f t="shared" si="5"/>
        <v>0</v>
      </c>
      <c r="AG45" s="86">
        <f t="shared" si="5"/>
        <v>0</v>
      </c>
      <c r="AH45" s="86">
        <f t="shared" si="5"/>
        <v>0</v>
      </c>
      <c r="AI45" s="86"/>
      <c r="AJ45" s="86"/>
      <c r="AK45" s="86">
        <f>IF($J$29=2,8.7,0)</f>
        <v>0</v>
      </c>
      <c r="AL45" s="86"/>
      <c r="AM45" s="86"/>
      <c r="AN45" s="87">
        <f>IF($J$29=2,8.7,0)</f>
        <v>0</v>
      </c>
      <c r="AO45" s="85">
        <f>IF(OR(OR(OR($I$29=10,$I$29=13),$I$29=14),$I$29=15),49,0)</f>
        <v>0</v>
      </c>
      <c r="AP45" s="86">
        <f t="shared" ref="AP45:AS45" si="6">IF(OR(OR(OR($I$29=10,$I$29=13),$I$29=14),$I$29=15),49,0)</f>
        <v>0</v>
      </c>
      <c r="AQ45" s="86">
        <f t="shared" si="6"/>
        <v>0</v>
      </c>
      <c r="AR45" s="86">
        <f t="shared" si="6"/>
        <v>0</v>
      </c>
      <c r="AS45" s="86">
        <f t="shared" si="6"/>
        <v>0</v>
      </c>
      <c r="AT45" s="86"/>
      <c r="AU45" s="86"/>
      <c r="AV45" s="86">
        <f>IF($I$29=2,52,0)</f>
        <v>0</v>
      </c>
      <c r="AW45" s="86"/>
      <c r="AX45" s="86"/>
      <c r="AY45" s="87">
        <f>IF($I$29=2,52,0)</f>
        <v>0</v>
      </c>
      <c r="BC45" s="85">
        <f>IF(OR(OR(OR($J$32=10,$J$32=13),$J$32=14),$J$32=15),11.5,0)</f>
        <v>0</v>
      </c>
      <c r="BD45" s="86">
        <f t="shared" ref="BD45:BG45" si="7">IF(OR(OR(OR($J$32=10,$J$32=13),$J$32=14),$J$32=15),11.5,0)</f>
        <v>0</v>
      </c>
      <c r="BE45" s="86">
        <f t="shared" si="7"/>
        <v>0</v>
      </c>
      <c r="BF45" s="86">
        <f t="shared" si="7"/>
        <v>0</v>
      </c>
      <c r="BG45" s="86">
        <f t="shared" si="7"/>
        <v>0</v>
      </c>
      <c r="BH45" s="86"/>
      <c r="BI45" s="86"/>
      <c r="BJ45" s="86">
        <f>IF($J$32=2,8.7,0)</f>
        <v>0</v>
      </c>
      <c r="BK45" s="86"/>
      <c r="BL45" s="86"/>
      <c r="BM45" s="87">
        <f>IF($J$32=2,8.7,0)</f>
        <v>0</v>
      </c>
      <c r="BN45" s="85">
        <f>IF(OR(OR(OR($I$32=10,$I$32=13),$I$32=14),$I$32=15),49,0)</f>
        <v>0</v>
      </c>
      <c r="BO45" s="86">
        <f t="shared" ref="BO45:BR45" si="8">IF(OR(OR(OR($I$32=10,$I$32=13),$I$32=14),$I$32=15),49,0)</f>
        <v>0</v>
      </c>
      <c r="BP45" s="86">
        <f t="shared" si="8"/>
        <v>0</v>
      </c>
      <c r="BQ45" s="86">
        <f t="shared" si="8"/>
        <v>0</v>
      </c>
      <c r="BR45" s="86">
        <f t="shared" si="8"/>
        <v>0</v>
      </c>
      <c r="BS45" s="86"/>
      <c r="BT45" s="86"/>
      <c r="BU45" s="86">
        <f>IF($I$32=2,52,0)</f>
        <v>0</v>
      </c>
      <c r="BV45" s="86"/>
      <c r="BW45" s="86"/>
      <c r="BX45" s="87">
        <f>IF($I$32=2,52,0)</f>
        <v>0</v>
      </c>
    </row>
    <row r="46" spans="1:76" ht="11.45" customHeight="1">
      <c r="A46" s="102"/>
      <c r="B46" s="173" t="s">
        <v>23</v>
      </c>
      <c r="C46" s="49" t="s">
        <v>3</v>
      </c>
      <c r="D46" s="94" t="str">
        <f>IF(I43="Single Reinforced","","(M-Mr)/fs/(d-d')/2·(1-k)/(k-d'/d)")</f>
        <v>(M-Mr)/fs/(d-d')/2·(1-k)/(k-d'/d)</v>
      </c>
      <c r="E46" s="36"/>
      <c r="F46" s="36"/>
      <c r="G46" s="36"/>
      <c r="H46" s="39" t="s">
        <v>0</v>
      </c>
      <c r="I46" s="184">
        <f>IF($I$43="Single Reinforced",0,($I$18-$J$35)/2/$J$7/$I$34*($J$34-$J$14*$J$34)/($J$14*$J$34-($J$34-$I$34)))</f>
        <v>2.2717011589289364</v>
      </c>
      <c r="J46" s="185">
        <f>PI()/4*(($J$32*($J$33/10)^2))</f>
        <v>4.5238934211693023</v>
      </c>
      <c r="K46" s="97" t="str">
        <f>IF($I$46&lt;=$J$46,"O.K",IF($I$46/$J$46&lt;=1.05,"อนุโลม","แก้ไข"))</f>
        <v>O.K</v>
      </c>
      <c r="L46" s="98"/>
      <c r="M46" s="50"/>
      <c r="N46" s="50"/>
      <c r="O46" s="50"/>
      <c r="P46" s="43"/>
      <c r="AC46" s="10"/>
      <c r="AD46" s="85"/>
      <c r="AE46" s="86"/>
      <c r="AF46" s="86" t="s">
        <v>77</v>
      </c>
      <c r="AG46" s="86"/>
      <c r="AH46" s="86"/>
      <c r="AI46" s="86"/>
      <c r="AJ46" s="86"/>
      <c r="AK46" s="86"/>
      <c r="AL46" s="86" t="s">
        <v>78</v>
      </c>
      <c r="AM46" s="86"/>
      <c r="AN46" s="87"/>
      <c r="AO46" s="85"/>
      <c r="AP46" s="86"/>
      <c r="AQ46" s="86" t="s">
        <v>77</v>
      </c>
      <c r="AR46" s="86"/>
      <c r="AS46" s="86"/>
      <c r="AT46" s="86"/>
      <c r="AU46" s="86"/>
      <c r="AV46" s="86"/>
      <c r="AW46" s="86" t="s">
        <v>78</v>
      </c>
      <c r="AX46" s="86"/>
      <c r="AY46" s="87"/>
      <c r="BC46" s="85"/>
      <c r="BD46" s="86"/>
      <c r="BE46" s="86" t="s">
        <v>77</v>
      </c>
      <c r="BF46" s="86"/>
      <c r="BG46" s="86"/>
      <c r="BH46" s="86"/>
      <c r="BI46" s="86"/>
      <c r="BJ46" s="86"/>
      <c r="BK46" s="86" t="s">
        <v>78</v>
      </c>
      <c r="BL46" s="86"/>
      <c r="BM46" s="87"/>
      <c r="BN46" s="85"/>
      <c r="BO46" s="86"/>
      <c r="BP46" s="86" t="s">
        <v>77</v>
      </c>
      <c r="BQ46" s="86"/>
      <c r="BR46" s="86"/>
      <c r="BS46" s="86"/>
      <c r="BT46" s="86"/>
      <c r="BU46" s="86"/>
      <c r="BV46" s="86" t="s">
        <v>78</v>
      </c>
      <c r="BW46" s="86"/>
      <c r="BX46" s="87"/>
    </row>
    <row r="47" spans="1:76" ht="11.25" customHeight="1">
      <c r="A47" s="102"/>
      <c r="B47" s="173" t="s">
        <v>29</v>
      </c>
      <c r="C47" s="49" t="s">
        <v>3</v>
      </c>
      <c r="D47" s="94" t="str">
        <f>IF(J45&gt;=1.34*I45," 1.34·Ads( 4 )"," 14/fy·[b·d]")</f>
        <v xml:space="preserve"> 14/fy·[b·d]</v>
      </c>
      <c r="E47" s="100"/>
      <c r="F47" s="36"/>
      <c r="G47" s="36"/>
      <c r="H47" s="39"/>
      <c r="I47" s="184">
        <f>14/(IF($J$6="SR 24",2400,IF($J$6="SD 30",3000,IF($J$6="SD 40",4000,5000))))*$J$22*$J$34*10000</f>
        <v>3.0893333333333337</v>
      </c>
      <c r="J47" s="190">
        <f>+$J$45</f>
        <v>6.785840131753953</v>
      </c>
      <c r="K47" s="95" t="str">
        <f>IF($I$47&lt;=$J$47,"O.K",IF($I$47/$J$47&lt;=1.1,"อนุโลม","แก้ไข"))</f>
        <v>O.K</v>
      </c>
      <c r="L47" s="96"/>
      <c r="M47" s="43"/>
      <c r="N47" s="43"/>
      <c r="O47" s="43"/>
      <c r="P47" s="43"/>
      <c r="AC47" s="10"/>
      <c r="AD47" s="85"/>
      <c r="AE47" s="86"/>
      <c r="AF47" s="86"/>
      <c r="AG47" s="86"/>
      <c r="AH47" s="86"/>
      <c r="AI47" s="86"/>
      <c r="AJ47" s="86"/>
      <c r="AK47" s="86">
        <f>IF($J$29=13,3,0)</f>
        <v>0</v>
      </c>
      <c r="AL47" s="86">
        <f>IF($J$29=13,10,0)</f>
        <v>0</v>
      </c>
      <c r="AM47" s="86">
        <f>IF($J$29=13,17,0)</f>
        <v>0</v>
      </c>
      <c r="AN47" s="87"/>
      <c r="AO47" s="85"/>
      <c r="AP47" s="86"/>
      <c r="AQ47" s="86"/>
      <c r="AR47" s="86"/>
      <c r="AS47" s="86"/>
      <c r="AT47" s="86"/>
      <c r="AU47" s="86"/>
      <c r="AV47" s="86">
        <f>IF($I$29=13,3,0)</f>
        <v>0</v>
      </c>
      <c r="AW47" s="86">
        <f>IF($I$29=13,10,0)</f>
        <v>0</v>
      </c>
      <c r="AX47" s="86">
        <f>IF($I$29=13,17,0)</f>
        <v>0</v>
      </c>
      <c r="AY47" s="87"/>
      <c r="BC47" s="85"/>
      <c r="BD47" s="86"/>
      <c r="BE47" s="86"/>
      <c r="BF47" s="86"/>
      <c r="BG47" s="86"/>
      <c r="BH47" s="86"/>
      <c r="BI47" s="86"/>
      <c r="BJ47" s="86">
        <f>IF($J$32=13,3,0)</f>
        <v>0</v>
      </c>
      <c r="BK47" s="86">
        <f>IF($J$32=13,10,0)</f>
        <v>0</v>
      </c>
      <c r="BL47" s="86">
        <f>IF($J$32=13,17,0)</f>
        <v>0</v>
      </c>
      <c r="BM47" s="87"/>
      <c r="BN47" s="85"/>
      <c r="BO47" s="86"/>
      <c r="BP47" s="86"/>
      <c r="BQ47" s="86"/>
      <c r="BR47" s="86"/>
      <c r="BS47" s="86"/>
      <c r="BT47" s="86"/>
      <c r="BU47" s="86">
        <f>IF($I$32=13,3,0)</f>
        <v>0</v>
      </c>
      <c r="BV47" s="86">
        <f>IF($I$32=13,10,0)</f>
        <v>0</v>
      </c>
      <c r="BW47" s="86">
        <f>IF($I$32=13,17,0)</f>
        <v>0</v>
      </c>
      <c r="BX47" s="87"/>
    </row>
    <row r="48" spans="1:76" ht="11.25" customHeight="1">
      <c r="A48" s="102"/>
      <c r="B48" s="175" t="s">
        <v>29</v>
      </c>
      <c r="C48" s="176" t="s">
        <v>3</v>
      </c>
      <c r="D48" s="179" t="str">
        <f>IF(AND(OR(AND(OR(AND(J31=1,J29/J33&gt;2/5),J31=2),J29/J33&gt;4/5),J31=3),J29/J33&gt;4/5)," 0.0025·b·D","")</f>
        <v/>
      </c>
      <c r="E48" s="177"/>
      <c r="F48" s="178"/>
      <c r="G48" s="178"/>
      <c r="H48" s="186" t="s">
        <v>0</v>
      </c>
      <c r="I48" s="187" t="str">
        <f>IF(AND(OR(AND(OR(AND($J$25=1,$J$23/$J$27&gt;2/5),$J$25=2),$J$23/$J$27&gt;4/5),$J$25=3),$J$23/$J$27&gt;4/5),0.0025*$J$22*$J$23*100*100,"")</f>
        <v/>
      </c>
      <c r="J48" s="191">
        <f>MIN($J$44,$J$45)</f>
        <v>6.785840131753953</v>
      </c>
      <c r="K48" s="95" t="str">
        <f>IF($I$48&lt;=$J$48,"O.K",IF($I$48/$J$48&lt;=1.1,"อนุโลม","แก้ไข"))</f>
        <v>O.K</v>
      </c>
      <c r="L48" s="96"/>
      <c r="M48" s="43"/>
      <c r="N48" s="43"/>
      <c r="O48" s="43"/>
      <c r="P48" s="43"/>
      <c r="AC48" s="10"/>
      <c r="AD48" s="85">
        <f>IF($J$29=15,3,0)</f>
        <v>0</v>
      </c>
      <c r="AE48" s="86">
        <f>IF($J$29=15,6.8,0)</f>
        <v>0</v>
      </c>
      <c r="AF48" s="86">
        <f>IF($J$29=15,10,0)</f>
        <v>0</v>
      </c>
      <c r="AG48" s="86">
        <f>IF($J$29=15,13.2,0)</f>
        <v>0</v>
      </c>
      <c r="AH48" s="86">
        <f>IF($J$29=15,17,0)</f>
        <v>0</v>
      </c>
      <c r="AI48" s="86"/>
      <c r="AJ48" s="86"/>
      <c r="AK48" s="86">
        <f>IF($J$29=13,14.2,0)</f>
        <v>0</v>
      </c>
      <c r="AL48" s="86">
        <f>IF($J$29=13,14.2,0)</f>
        <v>0</v>
      </c>
      <c r="AM48" s="86">
        <f>IF($J$29=13,14.2,0)</f>
        <v>0</v>
      </c>
      <c r="AN48" s="87"/>
      <c r="AO48" s="85">
        <f>IF($I$29=15,3,0)</f>
        <v>0</v>
      </c>
      <c r="AP48" s="86">
        <f>IF($I$29=15,6.8,0)</f>
        <v>0</v>
      </c>
      <c r="AQ48" s="86">
        <f>IF($I$29=15,10,0)</f>
        <v>0</v>
      </c>
      <c r="AR48" s="86">
        <f>IF($I$29=15,13.2,0)</f>
        <v>0</v>
      </c>
      <c r="AS48" s="86">
        <f>IF($I$29=15,17,0)</f>
        <v>0</v>
      </c>
      <c r="AT48" s="86"/>
      <c r="AU48" s="86"/>
      <c r="AV48" s="86">
        <f>IF($I$29=13,46,0)</f>
        <v>0</v>
      </c>
      <c r="AW48" s="86">
        <f t="shared" ref="AW48:AX48" si="9">IF($I$29=13,46,0)</f>
        <v>0</v>
      </c>
      <c r="AX48" s="86">
        <f t="shared" si="9"/>
        <v>0</v>
      </c>
      <c r="AY48" s="87"/>
      <c r="BC48" s="85">
        <f>IF($J$32=15,3,0)</f>
        <v>0</v>
      </c>
      <c r="BD48" s="86">
        <f>IF($J$32=15,6.8,0)</f>
        <v>0</v>
      </c>
      <c r="BE48" s="86">
        <f>IF($J$32=15,10,0)</f>
        <v>0</v>
      </c>
      <c r="BF48" s="86">
        <f>IF($J$32=15,13.2,0)</f>
        <v>0</v>
      </c>
      <c r="BG48" s="86">
        <f>IF($J$32=15,17,0)</f>
        <v>0</v>
      </c>
      <c r="BH48" s="86"/>
      <c r="BI48" s="86"/>
      <c r="BJ48" s="86">
        <f>IF($J$32=13,14.2,0)</f>
        <v>0</v>
      </c>
      <c r="BK48" s="86">
        <f>IF($J$32=13,14.2,0)</f>
        <v>0</v>
      </c>
      <c r="BL48" s="86">
        <f>IF($J$32=13,14.2,0)</f>
        <v>0</v>
      </c>
      <c r="BM48" s="87"/>
      <c r="BN48" s="85">
        <f>IF($I$32=15,3,0)</f>
        <v>0</v>
      </c>
      <c r="BO48" s="86">
        <f>IF($I$32=15,6.8,0)</f>
        <v>0</v>
      </c>
      <c r="BP48" s="86">
        <f>IF($I$32=15,10,0)</f>
        <v>0</v>
      </c>
      <c r="BQ48" s="86">
        <f>IF($I$32=15,13.2,0)</f>
        <v>0</v>
      </c>
      <c r="BR48" s="86">
        <f>IF($I$32=15,17,0)</f>
        <v>0</v>
      </c>
      <c r="BS48" s="86"/>
      <c r="BT48" s="86"/>
      <c r="BU48" s="86">
        <f>IF($I$32=13,46,0)</f>
        <v>0</v>
      </c>
      <c r="BV48" s="86">
        <f>IF($I$32=13,46,0)</f>
        <v>0</v>
      </c>
      <c r="BW48" s="86">
        <f>IF($I$32=13,46,0)</f>
        <v>0</v>
      </c>
      <c r="BX48" s="87"/>
    </row>
    <row r="49" spans="1:76" ht="14.25" customHeight="1">
      <c r="A49" s="27" t="s">
        <v>94</v>
      </c>
      <c r="B49" s="28" t="s">
        <v>30</v>
      </c>
      <c r="C49" s="36"/>
      <c r="D49" s="36"/>
      <c r="E49" s="36"/>
      <c r="F49" s="36"/>
      <c r="G49" s="36"/>
      <c r="H49" s="38"/>
      <c r="I49" s="40"/>
      <c r="J49" s="40"/>
      <c r="K49" s="41"/>
      <c r="L49" s="42"/>
      <c r="M49" s="43"/>
      <c r="N49" s="43"/>
      <c r="O49" s="43"/>
      <c r="P49" s="43"/>
      <c r="AC49" s="10"/>
      <c r="AD49" s="85">
        <f>IF($J$29=15,14.2,0)</f>
        <v>0</v>
      </c>
      <c r="AE49" s="86">
        <f t="shared" ref="AE49:AH49" si="10">IF($J$29=15,14.2,0)</f>
        <v>0</v>
      </c>
      <c r="AF49" s="86">
        <f t="shared" si="10"/>
        <v>0</v>
      </c>
      <c r="AG49" s="86">
        <f t="shared" si="10"/>
        <v>0</v>
      </c>
      <c r="AH49" s="86">
        <f t="shared" si="10"/>
        <v>0</v>
      </c>
      <c r="AI49" s="86"/>
      <c r="AJ49" s="86"/>
      <c r="AK49" s="86"/>
      <c r="AL49" s="86"/>
      <c r="AM49" s="86"/>
      <c r="AN49" s="87"/>
      <c r="AO49" s="85">
        <f>IF($I$29=15,46,0)</f>
        <v>0</v>
      </c>
      <c r="AP49" s="86">
        <f t="shared" ref="AP49:AS49" si="11">IF($I$29=15,46,0)</f>
        <v>0</v>
      </c>
      <c r="AQ49" s="86">
        <f t="shared" si="11"/>
        <v>0</v>
      </c>
      <c r="AR49" s="86">
        <f t="shared" si="11"/>
        <v>0</v>
      </c>
      <c r="AS49" s="86">
        <f t="shared" si="11"/>
        <v>0</v>
      </c>
      <c r="AT49" s="86"/>
      <c r="AU49" s="86"/>
      <c r="AV49" s="86"/>
      <c r="AW49" s="86"/>
      <c r="AX49" s="86"/>
      <c r="AY49" s="87"/>
      <c r="BC49" s="85">
        <f>IF($J$32=15,14.2,0)</f>
        <v>0</v>
      </c>
      <c r="BD49" s="86">
        <f t="shared" ref="BD49:BG49" si="12">IF($J$32=15,14.2,0)</f>
        <v>0</v>
      </c>
      <c r="BE49" s="86">
        <f t="shared" si="12"/>
        <v>0</v>
      </c>
      <c r="BF49" s="86">
        <f t="shared" si="12"/>
        <v>0</v>
      </c>
      <c r="BG49" s="86">
        <f t="shared" si="12"/>
        <v>0</v>
      </c>
      <c r="BH49" s="86"/>
      <c r="BI49" s="86"/>
      <c r="BJ49" s="86"/>
      <c r="BK49" s="86"/>
      <c r="BL49" s="86"/>
      <c r="BM49" s="87"/>
      <c r="BN49" s="85">
        <f>IF($I$32=15,46,0)</f>
        <v>0</v>
      </c>
      <c r="BO49" s="86">
        <f t="shared" ref="BO49:BR49" si="13">IF($I$32=15,46,0)</f>
        <v>0</v>
      </c>
      <c r="BP49" s="86">
        <f t="shared" si="13"/>
        <v>0</v>
      </c>
      <c r="BQ49" s="86">
        <f t="shared" si="13"/>
        <v>0</v>
      </c>
      <c r="BR49" s="86">
        <f t="shared" si="13"/>
        <v>0</v>
      </c>
      <c r="BS49" s="86"/>
      <c r="BT49" s="86"/>
      <c r="BU49" s="86"/>
      <c r="BV49" s="86"/>
      <c r="BW49" s="86"/>
      <c r="BX49" s="87"/>
    </row>
    <row r="50" spans="1:76" ht="15.75" customHeight="1">
      <c r="A50" s="34"/>
      <c r="B50" s="35" t="s">
        <v>49</v>
      </c>
      <c r="C50" s="36"/>
      <c r="D50" s="35" t="s">
        <v>112</v>
      </c>
      <c r="E50" s="36"/>
      <c r="F50" s="36"/>
      <c r="G50" s="36"/>
      <c r="H50" s="39" t="s">
        <v>0</v>
      </c>
      <c r="I50" s="40"/>
      <c r="J50" s="106" t="str">
        <f>IF($J$19/$J$22/$J$34/10000&lt;=1.32*SQRT(J9),"เสริมเหล็กได้","เสริมเหล็กไม่ได้")</f>
        <v>เสริมเหล็กได้</v>
      </c>
      <c r="K50" s="41"/>
      <c r="L50" s="42"/>
      <c r="M50" s="43"/>
      <c r="N50" s="43"/>
      <c r="O50" s="43"/>
      <c r="P50" s="43"/>
      <c r="AC50" s="10"/>
      <c r="AD50" s="85"/>
      <c r="AE50" s="86"/>
      <c r="AF50" s="86" t="s">
        <v>79</v>
      </c>
      <c r="AG50" s="86"/>
      <c r="AH50" s="86"/>
      <c r="AI50" s="86"/>
      <c r="AJ50" s="86"/>
      <c r="AK50" s="86"/>
      <c r="AL50" s="86" t="s">
        <v>80</v>
      </c>
      <c r="AM50" s="86"/>
      <c r="AN50" s="87"/>
      <c r="AO50" s="85"/>
      <c r="AP50" s="86"/>
      <c r="AQ50" s="86" t="s">
        <v>79</v>
      </c>
      <c r="AR50" s="86"/>
      <c r="AS50" s="86"/>
      <c r="AT50" s="86"/>
      <c r="AU50" s="86"/>
      <c r="AV50" s="86"/>
      <c r="AW50" s="86" t="s">
        <v>80</v>
      </c>
      <c r="AX50" s="86"/>
      <c r="AY50" s="87"/>
      <c r="BC50" s="85"/>
      <c r="BD50" s="86"/>
      <c r="BE50" s="86" t="s">
        <v>79</v>
      </c>
      <c r="BF50" s="86"/>
      <c r="BG50" s="86"/>
      <c r="BH50" s="86"/>
      <c r="BI50" s="86"/>
      <c r="BJ50" s="86"/>
      <c r="BK50" s="86" t="s">
        <v>80</v>
      </c>
      <c r="BL50" s="86"/>
      <c r="BM50" s="87"/>
      <c r="BN50" s="85"/>
      <c r="BO50" s="86"/>
      <c r="BP50" s="86" t="s">
        <v>79</v>
      </c>
      <c r="BQ50" s="86"/>
      <c r="BR50" s="86"/>
      <c r="BS50" s="86"/>
      <c r="BT50" s="86"/>
      <c r="BU50" s="86"/>
      <c r="BV50" s="86" t="s">
        <v>80</v>
      </c>
      <c r="BW50" s="86"/>
      <c r="BX50" s="87"/>
    </row>
    <row r="51" spans="1:76" ht="11.45" customHeight="1">
      <c r="A51" s="34"/>
      <c r="B51" s="35" t="s">
        <v>48</v>
      </c>
      <c r="C51" s="49" t="s">
        <v>3</v>
      </c>
      <c r="D51" s="35" t="s">
        <v>50</v>
      </c>
      <c r="E51" s="36"/>
      <c r="F51" s="36"/>
      <c r="G51" s="36"/>
      <c r="H51" s="39" t="s">
        <v>0</v>
      </c>
      <c r="I51" s="47"/>
      <c r="J51" s="44">
        <f>IF(J27/J22&gt;30,J19,IF(J18&gt;0.29*SQRT($J$9)*$J$22*J34*10000,J19-0.29*SQRT($J$9)*$J$22*J34*10000,0))</f>
        <v>2424.3180180775421</v>
      </c>
      <c r="K51" s="45" t="s">
        <v>8</v>
      </c>
      <c r="L51" s="46"/>
      <c r="M51" s="217"/>
      <c r="N51" s="217"/>
      <c r="O51" s="217"/>
      <c r="P51" s="217"/>
      <c r="AC51" s="10"/>
      <c r="AD51" s="85">
        <f>IF(OR(OR($J$29=8,$J$29=4),$J$29=12),3,0)</f>
        <v>3</v>
      </c>
      <c r="AE51" s="86">
        <f>IF(OR(OR($J$29=8,$J$29=4),$J$29=12),7.6,0)</f>
        <v>7.6</v>
      </c>
      <c r="AF51" s="86"/>
      <c r="AG51" s="86">
        <f>IF(OR(OR($J$29=8,$J$29=4),$J$29=12),12.4,0)</f>
        <v>12.4</v>
      </c>
      <c r="AH51" s="86">
        <f>IF(OR(OR($J$29=8,$J$29=4),$J$29=12),17,0)</f>
        <v>17</v>
      </c>
      <c r="AI51" s="86"/>
      <c r="AJ51" s="86">
        <f>IF(OR($J$29=3,$J$29=6),3,0)</f>
        <v>0</v>
      </c>
      <c r="AK51" s="86"/>
      <c r="AL51" s="86">
        <f>IF(OR($J$29=3,$J$29=6),10,0)</f>
        <v>0</v>
      </c>
      <c r="AM51" s="86"/>
      <c r="AN51" s="87">
        <f>IF(OR($J$29=3,$J$29=6),17,0)</f>
        <v>0</v>
      </c>
      <c r="AO51" s="85">
        <f>IF(OR(OR($I$29=8,$I$29=4),$I$29=12),3,0)</f>
        <v>3</v>
      </c>
      <c r="AP51" s="86">
        <f>IF(OR(OR($I$29=8,$I$29=4),$I$29=12),7.6,0)</f>
        <v>7.6</v>
      </c>
      <c r="AQ51" s="86"/>
      <c r="AR51" s="86">
        <f>IF(OR(OR($I$29=8,$I$29=4),$I$29=12),12.4,0)</f>
        <v>12.4</v>
      </c>
      <c r="AS51" s="86">
        <f>IF(OR(OR($I$29=8,$I$29=4),$I$29=12),17,0)</f>
        <v>17</v>
      </c>
      <c r="AT51" s="86"/>
      <c r="AU51" s="86">
        <f>IF(OR($I$29=3,$I$29=6),3,0)</f>
        <v>0</v>
      </c>
      <c r="AV51" s="86"/>
      <c r="AW51" s="86">
        <f>IF(OR($I$29=3,$I$29=6),10,0)</f>
        <v>0</v>
      </c>
      <c r="AX51" s="86"/>
      <c r="AY51" s="87">
        <f>IF(OR($I$29=3,$I$29=6),17,0)</f>
        <v>0</v>
      </c>
      <c r="BC51" s="85">
        <f>IF(OR(OR($J$32=8,$J$32=4),$J$32=12),3,0)</f>
        <v>3</v>
      </c>
      <c r="BD51" s="86">
        <f>IF(OR(OR($J$32=8,$J$32=4),$J$32=12),7.6,0)</f>
        <v>7.6</v>
      </c>
      <c r="BE51" s="86"/>
      <c r="BF51" s="86">
        <f>IF(OR(OR($J$32=8,$J$32=4),$J$32=12),12.4,0)</f>
        <v>12.4</v>
      </c>
      <c r="BG51" s="86">
        <f>IF(OR(OR($J$32=8,$J$32=4),$J$32=12),17,0)</f>
        <v>17</v>
      </c>
      <c r="BH51" s="86"/>
      <c r="BI51" s="86">
        <f>IF(OR($J$32=3,$J$32=6),3,0)</f>
        <v>0</v>
      </c>
      <c r="BJ51" s="86"/>
      <c r="BK51" s="86">
        <f>IF(OR($J$32=3,$J$32=6),10,0)</f>
        <v>0</v>
      </c>
      <c r="BL51" s="86"/>
      <c r="BM51" s="87">
        <f>IF(OR($J$32=3,$J$32=6),17,0)</f>
        <v>0</v>
      </c>
      <c r="BN51" s="85">
        <f>IF(OR(OR($I$32=8,$I$32=4),$I$32=12),3,0)</f>
        <v>0</v>
      </c>
      <c r="BO51" s="86">
        <f>IF(OR(OR($I$32=8,$I$32=4),$I$32=12),7.6,0)</f>
        <v>0</v>
      </c>
      <c r="BP51" s="86"/>
      <c r="BQ51" s="86">
        <f>IF(OR(OR($I$32=8,$I$32=4),$I$32=12),12.4,0)</f>
        <v>0</v>
      </c>
      <c r="BR51" s="86">
        <f>IF(OR(OR($I$32=8,$I$32=4),$I$32=12),17,0)</f>
        <v>0</v>
      </c>
      <c r="BS51" s="86"/>
      <c r="BT51" s="86">
        <f>IF(OR($I$32=3,$I$32=6),3,0)</f>
        <v>3</v>
      </c>
      <c r="BU51" s="86"/>
      <c r="BV51" s="86">
        <f>IF(OR($I$32=3,$I$32=6),10,0)</f>
        <v>10</v>
      </c>
      <c r="BW51" s="86"/>
      <c r="BX51" s="87">
        <f>IF(OR($I$32=3,$I$32=6),17,0)</f>
        <v>17</v>
      </c>
    </row>
    <row r="52" spans="1:76" ht="13.5" customHeight="1">
      <c r="A52" s="34"/>
      <c r="B52" s="35" t="s">
        <v>109</v>
      </c>
      <c r="C52" s="36"/>
      <c r="D52" s="36"/>
      <c r="E52" s="36"/>
      <c r="F52" s="36"/>
      <c r="G52" s="36"/>
      <c r="H52" s="39" t="s">
        <v>0</v>
      </c>
      <c r="K52" s="107" t="s">
        <v>99</v>
      </c>
      <c r="M52" s="218">
        <v>1</v>
      </c>
      <c r="N52" s="219">
        <v>6</v>
      </c>
      <c r="O52" s="220">
        <f>IF(N52&gt;=10,$J$7,1200)</f>
        <v>1200</v>
      </c>
      <c r="P52" s="221">
        <f>IF($J$51=0,MIN(0.3,$J$34/2),IF(MAX($I$19:$J$19)/$J$22/$J$34/10000&gt;0.795*SQRT($J$9),MIN(0.3,$J$34/4,$J$34*PI()*2*(N52/10)^2/4*O52/$J$51),MIN(0.3,$J$34/2,$J$34*PI()*2*(N52/10)^2/4*O52/$J$51)))</f>
        <v>9.2649275666882275E-2</v>
      </c>
      <c r="AC52" s="10"/>
      <c r="AD52" s="85">
        <f>IF(OR(OR($J$29=8,$J$29=4),$J$29=12),8.7,0)</f>
        <v>8.6999999999999993</v>
      </c>
      <c r="AE52" s="86">
        <f>IF(OR(OR($J$29=8,$J$29=4),$J$29=12),8.7,0)</f>
        <v>8.6999999999999993</v>
      </c>
      <c r="AF52" s="86"/>
      <c r="AG52" s="86">
        <f>IF(OR(OR($J$29=8,$J$29=4),$J$29=12),8.7,0)</f>
        <v>8.6999999999999993</v>
      </c>
      <c r="AH52" s="86">
        <f>IF(OR(OR($J$29=8,$J$29=4),$J$29=12),8.7,0)</f>
        <v>8.6999999999999993</v>
      </c>
      <c r="AI52" s="86"/>
      <c r="AJ52" s="86">
        <f>IF(OR($J$29=3,$J$29=6),8.7,0)</f>
        <v>0</v>
      </c>
      <c r="AK52" s="86"/>
      <c r="AL52" s="86">
        <f>IF(OR($J$29=3,$J$29=6),8.7,0)</f>
        <v>0</v>
      </c>
      <c r="AM52" s="86"/>
      <c r="AN52" s="86">
        <f>IF(OR($J$29=3,$J$29=6),8.7,0)</f>
        <v>0</v>
      </c>
      <c r="AO52" s="85">
        <f>IF(OR(OR($I$29=8,$I$29=4),$I$29=12),52,0)</f>
        <v>52</v>
      </c>
      <c r="AP52" s="86">
        <f t="shared" ref="AP52:AS52" si="14">IF(OR(OR($I$29=8,$I$29=4),$I$29=12),52,0)</f>
        <v>52</v>
      </c>
      <c r="AQ52" s="86"/>
      <c r="AR52" s="86">
        <f t="shared" si="14"/>
        <v>52</v>
      </c>
      <c r="AS52" s="86">
        <f t="shared" si="14"/>
        <v>52</v>
      </c>
      <c r="AT52" s="86"/>
      <c r="AU52" s="86">
        <f>IF(OR($I$29=3,$I$29=6),52,0)</f>
        <v>0</v>
      </c>
      <c r="AV52" s="86"/>
      <c r="AW52" s="86">
        <f>IF(OR($I$29=3,$I$29=6),52,0)</f>
        <v>0</v>
      </c>
      <c r="AX52" s="86"/>
      <c r="AY52" s="87">
        <f>IF(OR($I$29=3,$I$29=6),52,0)</f>
        <v>0</v>
      </c>
      <c r="BC52" s="85">
        <f>IF(OR(OR($J$32=8,$J$32=4),$J$32=12),8.7,0)</f>
        <v>8.6999999999999993</v>
      </c>
      <c r="BD52" s="86">
        <f t="shared" ref="BD52:BG52" si="15">IF(OR(OR($J$32=8,$J$32=4),$J$32=12),8.7,0)</f>
        <v>8.6999999999999993</v>
      </c>
      <c r="BE52" s="86"/>
      <c r="BF52" s="86">
        <f t="shared" si="15"/>
        <v>8.6999999999999993</v>
      </c>
      <c r="BG52" s="86">
        <f t="shared" si="15"/>
        <v>8.6999999999999993</v>
      </c>
      <c r="BH52" s="86"/>
      <c r="BI52" s="86">
        <f>IF(OR($J$32=3,$J$32=6),8.7,0)</f>
        <v>0</v>
      </c>
      <c r="BJ52" s="86"/>
      <c r="BK52" s="86">
        <f>IF(OR($J$32=3,$J$32=6),8.7,0)</f>
        <v>0</v>
      </c>
      <c r="BL52" s="86"/>
      <c r="BM52" s="86">
        <f>IF(OR($J$32=3,$J$32=6),8.7,0)</f>
        <v>0</v>
      </c>
      <c r="BN52" s="85">
        <f>IF(OR(OR($I$32=8,$I$32=4),$I$32=12),52,0)</f>
        <v>0</v>
      </c>
      <c r="BO52" s="86">
        <f t="shared" ref="BO52:BR52" si="16">IF(OR(OR($I$32=8,$I$32=4),$I$32=12),52,0)</f>
        <v>0</v>
      </c>
      <c r="BP52" s="86"/>
      <c r="BQ52" s="86">
        <f t="shared" si="16"/>
        <v>0</v>
      </c>
      <c r="BR52" s="86">
        <f t="shared" si="16"/>
        <v>0</v>
      </c>
      <c r="BS52" s="86"/>
      <c r="BT52" s="86">
        <f>IF(OR($I$32=3,$I$32=6),52,0)</f>
        <v>52</v>
      </c>
      <c r="BU52" s="86"/>
      <c r="BV52" s="86">
        <f>IF(OR($I$32=3,$I$32=6),52,0)</f>
        <v>52</v>
      </c>
      <c r="BW52" s="86"/>
      <c r="BX52" s="87">
        <f>IF(OR($I$32=3,$I$32=6),52,0)</f>
        <v>52</v>
      </c>
    </row>
    <row r="53" spans="1:76" ht="16.5">
      <c r="A53" s="34"/>
      <c r="B53" s="35" t="s">
        <v>47</v>
      </c>
      <c r="C53" s="94" t="s">
        <v>3</v>
      </c>
      <c r="D53" s="35" t="s">
        <v>116</v>
      </c>
      <c r="E53" s="36"/>
      <c r="F53" s="36"/>
      <c r="G53" s="36"/>
      <c r="H53" s="39" t="s">
        <v>0</v>
      </c>
      <c r="J53" s="12">
        <f>+O56</f>
        <v>1200</v>
      </c>
      <c r="K53" s="107" t="s">
        <v>115</v>
      </c>
      <c r="M53" s="222">
        <v>2</v>
      </c>
      <c r="N53" s="219">
        <v>9</v>
      </c>
      <c r="O53" s="220">
        <f>IF(N53&gt;=10,$J$7,1200)</f>
        <v>1200</v>
      </c>
      <c r="P53" s="221">
        <f>IF($J$51=0,MIN(0.3,$J$34/2),IF(MAX($I$19:$J$19)/$J$22/$J$34/10000&gt;0.795*SQRT($J$9),MIN(0.3,$J$34/4,$J$34*PI()*2*(N53/10)^2/4*O53/$J$51),MIN(0.3,$J$34/2,$J$34*PI()*2*(N53/10)^2/4*O53/$J$51)))</f>
        <v>0.16550000000000001</v>
      </c>
      <c r="AC53" s="10"/>
      <c r="AD53" s="85"/>
      <c r="AE53" s="86"/>
      <c r="AF53" s="86" t="s">
        <v>81</v>
      </c>
      <c r="AG53" s="86"/>
      <c r="AH53" s="86"/>
      <c r="AI53" s="86"/>
      <c r="AJ53" s="86"/>
      <c r="AK53" s="86"/>
      <c r="AL53" s="86" t="s">
        <v>82</v>
      </c>
      <c r="AM53" s="86"/>
      <c r="AN53" s="87"/>
      <c r="AO53" s="85"/>
      <c r="AP53" s="86"/>
      <c r="AQ53" s="86" t="s">
        <v>81</v>
      </c>
      <c r="AR53" s="86"/>
      <c r="AS53" s="86"/>
      <c r="AT53" s="86"/>
      <c r="AU53" s="86"/>
      <c r="AV53" s="86"/>
      <c r="AW53" s="86" t="s">
        <v>82</v>
      </c>
      <c r="AX53" s="86"/>
      <c r="AY53" s="87"/>
      <c r="BC53" s="85"/>
      <c r="BD53" s="86"/>
      <c r="BE53" s="86" t="s">
        <v>81</v>
      </c>
      <c r="BF53" s="86"/>
      <c r="BG53" s="86"/>
      <c r="BH53" s="86"/>
      <c r="BI53" s="86"/>
      <c r="BJ53" s="86"/>
      <c r="BK53" s="86" t="s">
        <v>82</v>
      </c>
      <c r="BL53" s="86"/>
      <c r="BM53" s="87"/>
      <c r="BN53" s="85"/>
      <c r="BO53" s="86"/>
      <c r="BP53" s="86" t="s">
        <v>81</v>
      </c>
      <c r="BQ53" s="86"/>
      <c r="BR53" s="86"/>
      <c r="BS53" s="86"/>
      <c r="BT53" s="86"/>
      <c r="BU53" s="86"/>
      <c r="BV53" s="86" t="s">
        <v>82</v>
      </c>
      <c r="BW53" s="86"/>
      <c r="BX53" s="87"/>
    </row>
    <row r="54" spans="1:76" ht="16.5">
      <c r="A54" s="34"/>
      <c r="B54" s="35" t="s">
        <v>117</v>
      </c>
      <c r="C54" s="36"/>
      <c r="D54" s="36"/>
      <c r="E54" s="36"/>
      <c r="F54" s="36"/>
      <c r="G54" s="36"/>
      <c r="H54" s="39" t="s">
        <v>0</v>
      </c>
      <c r="J54" s="108">
        <f>+$O$55</f>
        <v>0.16550000000000001</v>
      </c>
      <c r="K54" s="107" t="s">
        <v>114</v>
      </c>
      <c r="M54" s="222">
        <v>3</v>
      </c>
      <c r="N54" s="219">
        <v>12</v>
      </c>
      <c r="O54" s="220">
        <f>IF(N54&gt;=10,J7,1200)</f>
        <v>1500</v>
      </c>
      <c r="P54" s="221">
        <f>IF($J$51=0,MIN(0.3,$J$34/2),IF(MAX($I$19:$J$19)/$J$22/$J$34/10000&gt;0.795*SQRT($J$9),MIN(0.3,$J$34/4,$J$34*PI()*2*(N54/10)^2/4*O54/$J$51),MIN(0.3,$J$34/2,$J$34*PI()*2*(N54/10)^2/4*O54/$J$51)))</f>
        <v>0.16550000000000001</v>
      </c>
      <c r="AC54" s="10"/>
      <c r="AD54" s="85">
        <f>IF(OR($J$29=8,$J$29=12),3,0)</f>
        <v>3</v>
      </c>
      <c r="AE54" s="86">
        <f>IF(OR($J$29=8,$J$29=12),7.6,0)</f>
        <v>7.6</v>
      </c>
      <c r="AF54" s="86"/>
      <c r="AG54" s="86">
        <f>IF(OR($J$29=8,$J$29=12),12.4,0)</f>
        <v>12.4</v>
      </c>
      <c r="AH54" s="86">
        <f>IF(OR($J$29=8,$J$29=12),17,0)</f>
        <v>17</v>
      </c>
      <c r="AI54" s="86"/>
      <c r="AJ54" s="86">
        <f>IF($J$29=6,3,0)</f>
        <v>0</v>
      </c>
      <c r="AK54" s="86"/>
      <c r="AL54" s="86">
        <f>IF($J$29=6,10,0)</f>
        <v>0</v>
      </c>
      <c r="AM54" s="86"/>
      <c r="AN54" s="87">
        <f>IF($J$29=6,17,0)</f>
        <v>0</v>
      </c>
      <c r="AO54" s="85">
        <f>IF(OR($I$29=8,$I$29=12),3,0)</f>
        <v>3</v>
      </c>
      <c r="AP54" s="86">
        <f>IF(OR($I$29=8,$I$29=12),7.6,0)</f>
        <v>7.6</v>
      </c>
      <c r="AQ54" s="86"/>
      <c r="AR54" s="86">
        <f>IF(OR($I$29=8,$I$29=12),12.4,0)</f>
        <v>12.4</v>
      </c>
      <c r="AS54" s="86">
        <f>IF(OR($I$29=8,$I$29=12),17,0)</f>
        <v>17</v>
      </c>
      <c r="AT54" s="86"/>
      <c r="AU54" s="86">
        <f>IF($I$29=6,3,0)</f>
        <v>0</v>
      </c>
      <c r="AV54" s="86"/>
      <c r="AW54" s="86">
        <f>IF($I$29=6,10,0)</f>
        <v>0</v>
      </c>
      <c r="AX54" s="86"/>
      <c r="AY54" s="87">
        <f>IF($I$29=6,17,0)</f>
        <v>0</v>
      </c>
      <c r="BC54" s="85">
        <f>IF(OR($J$32=8,$J$32=12),3,0)</f>
        <v>0</v>
      </c>
      <c r="BD54" s="86">
        <f>IF(OR($J$32=8,$J$32=12),7.6,0)</f>
        <v>0</v>
      </c>
      <c r="BE54" s="86"/>
      <c r="BF54" s="86">
        <f>IF(OR($J$32=8,$J$32=12),12.4,0)</f>
        <v>0</v>
      </c>
      <c r="BG54" s="86">
        <f>IF(OR($J$32=8,$J$32=12),17,0)</f>
        <v>0</v>
      </c>
      <c r="BH54" s="86"/>
      <c r="BI54" s="86">
        <f>IF($J$32=6,3,0)</f>
        <v>0</v>
      </c>
      <c r="BJ54" s="86"/>
      <c r="BK54" s="86">
        <f>IF($J$32=6,10,0)</f>
        <v>0</v>
      </c>
      <c r="BL54" s="86"/>
      <c r="BM54" s="87">
        <f>IF($J$32=6,17,0)</f>
        <v>0</v>
      </c>
      <c r="BN54" s="85">
        <f>IF(OR($I$32=8,$I$32=12),3,0)</f>
        <v>0</v>
      </c>
      <c r="BO54" s="86">
        <f>IF(OR($I$32=8,$I$32=12),7.6,0)</f>
        <v>0</v>
      </c>
      <c r="BP54" s="86"/>
      <c r="BQ54" s="86">
        <f>IF(OR($I$32=8,$I$32=12),12.4,0)</f>
        <v>0</v>
      </c>
      <c r="BR54" s="86">
        <f>IF(OR($I$32=8,$I$32=12),17,0)</f>
        <v>0</v>
      </c>
      <c r="BS54" s="86"/>
      <c r="BT54" s="86">
        <f>IF($I$32=6,3,0)</f>
        <v>3</v>
      </c>
      <c r="BU54" s="86"/>
      <c r="BV54" s="86">
        <f>IF($I$32=6,10,0)</f>
        <v>10</v>
      </c>
      <c r="BW54" s="86"/>
      <c r="BX54" s="87">
        <f>IF($I$32=6,17,0)</f>
        <v>17</v>
      </c>
    </row>
    <row r="55" spans="1:76" ht="16.5">
      <c r="A55" s="109" t="s">
        <v>95</v>
      </c>
      <c r="B55" s="110" t="s">
        <v>58</v>
      </c>
      <c r="C55" s="36"/>
      <c r="D55" s="36"/>
      <c r="E55" s="36"/>
      <c r="F55" s="36"/>
      <c r="G55" s="36"/>
      <c r="H55" s="39" t="s">
        <v>0</v>
      </c>
      <c r="I55" s="111" t="s">
        <v>59</v>
      </c>
      <c r="J55" s="111" t="s">
        <v>60</v>
      </c>
      <c r="K55" s="112"/>
      <c r="L55" s="113"/>
      <c r="M55" s="222">
        <v>2</v>
      </c>
      <c r="N55" s="222"/>
      <c r="O55" s="223">
        <f>+VLOOKUP(M55,M52:P54,4)</f>
        <v>0.16550000000000001</v>
      </c>
      <c r="P55" s="224"/>
      <c r="AC55" s="10"/>
      <c r="AD55" s="85">
        <f>IF(OR($J$29=8,$J$29=12),11.5,0)</f>
        <v>11.5</v>
      </c>
      <c r="AE55" s="86">
        <f>IF(OR($J$29=8,$J$29=12),11.5,0)</f>
        <v>11.5</v>
      </c>
      <c r="AF55" s="86"/>
      <c r="AG55" s="86">
        <f>IF(OR($J$29=8,$J$29=12),11.5,0)</f>
        <v>11.5</v>
      </c>
      <c r="AH55" s="86">
        <f>IF(OR($J$29=8,$J$29=12),11.5,0)</f>
        <v>11.5</v>
      </c>
      <c r="AI55" s="86"/>
      <c r="AJ55" s="86">
        <f>IF($J$29=6,11.5,0)</f>
        <v>0</v>
      </c>
      <c r="AK55" s="86"/>
      <c r="AL55" s="86">
        <f>IF($J$29=6,11.5,0)</f>
        <v>0</v>
      </c>
      <c r="AM55" s="86"/>
      <c r="AN55" s="87">
        <f>IF($J$29=6,11.5,0)</f>
        <v>0</v>
      </c>
      <c r="AO55" s="85">
        <f>IF(OR($I$29=8,$I$29=12),49,0)</f>
        <v>49</v>
      </c>
      <c r="AP55" s="86">
        <f t="shared" ref="AP55:AS55" si="17">IF(OR($I$29=8,$I$29=12),49,0)</f>
        <v>49</v>
      </c>
      <c r="AQ55" s="86"/>
      <c r="AR55" s="86">
        <f t="shared" si="17"/>
        <v>49</v>
      </c>
      <c r="AS55" s="86">
        <f t="shared" si="17"/>
        <v>49</v>
      </c>
      <c r="AT55" s="86"/>
      <c r="AU55" s="86">
        <f>IF($I$29=6,49,0)</f>
        <v>0</v>
      </c>
      <c r="AV55" s="86"/>
      <c r="AW55" s="86">
        <f>IF($I$29=6,49,0)</f>
        <v>0</v>
      </c>
      <c r="AX55" s="86"/>
      <c r="AY55" s="87">
        <f>IF($I$29=6,49,0)</f>
        <v>0</v>
      </c>
      <c r="BC55" s="85">
        <f>IF(OR($J$32=8,$J$32=12),11.5,0)</f>
        <v>0</v>
      </c>
      <c r="BD55" s="86">
        <f>IF(OR($J$32=8,$J$32=12),11.5,0)</f>
        <v>0</v>
      </c>
      <c r="BE55" s="86"/>
      <c r="BF55" s="86">
        <f>IF(OR($J$32=8,$J$32=12),11.5,0)</f>
        <v>0</v>
      </c>
      <c r="BG55" s="86">
        <f>IF(OR($J$32=8,$J$32=12),11.5,0)</f>
        <v>0</v>
      </c>
      <c r="BH55" s="86"/>
      <c r="BI55" s="86">
        <f>IF($J$32=6,11.5,0)</f>
        <v>0</v>
      </c>
      <c r="BJ55" s="86"/>
      <c r="BK55" s="86">
        <f>IF($J$32=6,11.5,0)</f>
        <v>0</v>
      </c>
      <c r="BL55" s="86"/>
      <c r="BM55" s="87">
        <f>IF($J$32=6,11.5,0)</f>
        <v>0</v>
      </c>
      <c r="BN55" s="85">
        <f>IF(OR($I$32=8,$I$32=12),49,0)</f>
        <v>0</v>
      </c>
      <c r="BO55" s="86">
        <f>IF(OR($I$32=8,$I$32=12),49,0)</f>
        <v>0</v>
      </c>
      <c r="BP55" s="86"/>
      <c r="BQ55" s="86">
        <f>IF(OR($I$32=8,$I$32=12),49,0)</f>
        <v>0</v>
      </c>
      <c r="BR55" s="86">
        <f>IF(OR($I$32=8,$I$32=12),49,0)</f>
        <v>0</v>
      </c>
      <c r="BS55" s="86"/>
      <c r="BT55" s="86">
        <f>IF($I$32=6,49,0)</f>
        <v>49</v>
      </c>
      <c r="BU55" s="86"/>
      <c r="BV55" s="86">
        <f>IF($I$32=6,49,0)</f>
        <v>49</v>
      </c>
      <c r="BW55" s="86"/>
      <c r="BX55" s="87">
        <f>IF($I$32=6,49,0)</f>
        <v>49</v>
      </c>
    </row>
    <row r="56" spans="1:76" ht="16.5">
      <c r="A56" s="34"/>
      <c r="B56" s="35"/>
      <c r="C56" s="5" t="s">
        <v>3</v>
      </c>
      <c r="D56" s="36" t="str">
        <f>IF(J7=1200,"1.145*fc'^.5/D","2.29*fc'^.5/D")</f>
        <v>2.29*fc'^.5/D</v>
      </c>
      <c r="E56" s="36"/>
      <c r="F56" s="36" t="str">
        <f>IF(J7=1200,"1.165*fc'^.5/D","3.23*fc'^.5/D")</f>
        <v>3.23*fc'^.5/D</v>
      </c>
      <c r="G56" s="36"/>
      <c r="H56" s="39"/>
      <c r="I56" s="8">
        <f>IF(J7=1200,MIN(1.145*FC_^0.5/(J30/10),11),MIN(2.29*FC_^0.5/(J30/10),25))</f>
        <v>25</v>
      </c>
      <c r="J56" s="8">
        <f>IF(J7=1200,MIN(1.615*FC_^0.5/(J30/10),25),MIN(3.23*FC_^0.5/(J30/10),35))</f>
        <v>35</v>
      </c>
      <c r="K56" s="114" t="s">
        <v>1</v>
      </c>
      <c r="L56" s="111"/>
      <c r="M56" s="225"/>
      <c r="N56" s="225"/>
      <c r="O56" s="222">
        <f>+VLOOKUP(M55,M52:O54,3)</f>
        <v>1200</v>
      </c>
      <c r="P56" s="211"/>
      <c r="AC56" s="10"/>
      <c r="AD56" s="85"/>
      <c r="AE56" s="86"/>
      <c r="AF56" s="86" t="s">
        <v>83</v>
      </c>
      <c r="AG56" s="86"/>
      <c r="AH56" s="86"/>
      <c r="AI56" s="86"/>
      <c r="AJ56" s="86"/>
      <c r="AK56" s="86"/>
      <c r="AL56" s="86" t="s">
        <v>84</v>
      </c>
      <c r="AM56" s="86"/>
      <c r="AN56" s="87"/>
      <c r="AO56" s="85"/>
      <c r="AP56" s="86"/>
      <c r="AQ56" s="86" t="s">
        <v>83</v>
      </c>
      <c r="AR56" s="86"/>
      <c r="AS56" s="86"/>
      <c r="AT56" s="86"/>
      <c r="AU56" s="86"/>
      <c r="AV56" s="86"/>
      <c r="AW56" s="86" t="s">
        <v>84</v>
      </c>
      <c r="AX56" s="86"/>
      <c r="AY56" s="87"/>
      <c r="BC56" s="85"/>
      <c r="BD56" s="86"/>
      <c r="BE56" s="86" t="s">
        <v>83</v>
      </c>
      <c r="BF56" s="86"/>
      <c r="BG56" s="86"/>
      <c r="BH56" s="86"/>
      <c r="BI56" s="86"/>
      <c r="BJ56" s="86"/>
      <c r="BK56" s="86" t="s">
        <v>84</v>
      </c>
      <c r="BL56" s="86"/>
      <c r="BM56" s="87"/>
      <c r="BN56" s="85"/>
      <c r="BO56" s="86"/>
      <c r="BP56" s="86" t="s">
        <v>83</v>
      </c>
      <c r="BQ56" s="86"/>
      <c r="BR56" s="86"/>
      <c r="BS56" s="86"/>
      <c r="BT56" s="86"/>
      <c r="BU56" s="86"/>
      <c r="BV56" s="86" t="s">
        <v>84</v>
      </c>
      <c r="BW56" s="86"/>
      <c r="BX56" s="87"/>
    </row>
    <row r="57" spans="1:76" ht="16.5">
      <c r="A57" s="34"/>
      <c r="B57" s="35"/>
      <c r="C57" s="5" t="s">
        <v>3</v>
      </c>
      <c r="D57" s="36" t="s">
        <v>57</v>
      </c>
      <c r="E57" s="36"/>
      <c r="F57" s="36"/>
      <c r="G57" s="36"/>
      <c r="H57" s="39"/>
      <c r="I57" s="8">
        <f>VPOS/I56/J/(DPOS*100)</f>
        <v>6.7394840808738081</v>
      </c>
      <c r="J57" s="8">
        <f>VPOS/J56/J/(DPOS*100)</f>
        <v>4.8139172006241484</v>
      </c>
      <c r="K57" s="114" t="s">
        <v>124</v>
      </c>
      <c r="L57" s="111"/>
      <c r="M57" s="225"/>
      <c r="N57" s="225"/>
      <c r="O57" s="222">
        <f>+VLOOKUP(M55,M52:N54,2)</f>
        <v>9</v>
      </c>
      <c r="P57" s="211"/>
      <c r="AC57" s="10"/>
      <c r="AD57" s="85">
        <f>IF($J$29=12,3,0)</f>
        <v>0</v>
      </c>
      <c r="AE57" s="86">
        <f>IF($J$29=12,7.6,0)</f>
        <v>0</v>
      </c>
      <c r="AF57" s="86"/>
      <c r="AG57" s="86">
        <f>IF($J$29=12,12.4,0)</f>
        <v>0</v>
      </c>
      <c r="AH57" s="86">
        <f>IF($J$29=12,17,0)</f>
        <v>0</v>
      </c>
      <c r="AI57" s="86"/>
      <c r="AJ57" s="86">
        <f>IF($J$29=9,3,0)</f>
        <v>0</v>
      </c>
      <c r="AK57" s="86">
        <f>IF($J$29=9,6.8,0)</f>
        <v>0</v>
      </c>
      <c r="AL57" s="86"/>
      <c r="AM57" s="86">
        <f>IF($J$29=9,13.2,0)</f>
        <v>0</v>
      </c>
      <c r="AN57" s="87">
        <f>IF($J$29=9,17,0)</f>
        <v>0</v>
      </c>
      <c r="AO57" s="85">
        <f>IF($I$29=12,3,0)</f>
        <v>0</v>
      </c>
      <c r="AP57" s="86">
        <f>IF($I$29=12,7.6,0)</f>
        <v>0</v>
      </c>
      <c r="AQ57" s="86"/>
      <c r="AR57" s="86">
        <f>IF($I$29=12,12.4,0)</f>
        <v>0</v>
      </c>
      <c r="AS57" s="86">
        <f>IF($I$29=12,17,0)</f>
        <v>0</v>
      </c>
      <c r="AT57" s="86"/>
      <c r="AU57" s="86">
        <f>IF($I$29=9,3,0)</f>
        <v>0</v>
      </c>
      <c r="AV57" s="86">
        <f>IF($I$29=9,6.8,0)</f>
        <v>0</v>
      </c>
      <c r="AW57" s="86"/>
      <c r="AX57" s="86">
        <f>IF($I$29=9,13.2,0)</f>
        <v>0</v>
      </c>
      <c r="AY57" s="87">
        <f>IF($I$29=9,17,0)</f>
        <v>0</v>
      </c>
      <c r="BC57" s="85">
        <f>IF($J$32=12,3,0)</f>
        <v>0</v>
      </c>
      <c r="BD57" s="86">
        <f>IF($J$32=12,7.6,0)</f>
        <v>0</v>
      </c>
      <c r="BE57" s="86"/>
      <c r="BF57" s="86">
        <f>IF($J$32=12,12.4,0)</f>
        <v>0</v>
      </c>
      <c r="BG57" s="86">
        <f>IF($J$32=12,17,0)</f>
        <v>0</v>
      </c>
      <c r="BH57" s="86"/>
      <c r="BI57" s="86">
        <f>IF($J$32=9,3,0)</f>
        <v>0</v>
      </c>
      <c r="BJ57" s="86">
        <f>IF($J$32=9,6.8,0)</f>
        <v>0</v>
      </c>
      <c r="BK57" s="86"/>
      <c r="BL57" s="86">
        <f>IF($J$32=9,13.2,0)</f>
        <v>0</v>
      </c>
      <c r="BM57" s="87">
        <f>IF($J$32=9,17,0)</f>
        <v>0</v>
      </c>
      <c r="BN57" s="85">
        <f>IF($I$32=12,3,0)</f>
        <v>0</v>
      </c>
      <c r="BO57" s="86">
        <f>IF($I$32=12,7.6,0)</f>
        <v>0</v>
      </c>
      <c r="BP57" s="86"/>
      <c r="BQ57" s="86">
        <f>IF($I$32=12,12.4,0)</f>
        <v>0</v>
      </c>
      <c r="BR57" s="86">
        <f>IF($I$32=12,17,0)</f>
        <v>0</v>
      </c>
      <c r="BS57" s="86"/>
      <c r="BT57" s="86">
        <f>IF($I$32=9,3,0)</f>
        <v>0</v>
      </c>
      <c r="BU57" s="86">
        <f>IF($I$32=9,6.8,0)</f>
        <v>0</v>
      </c>
      <c r="BV57" s="86"/>
      <c r="BW57" s="86">
        <f>IF($I$32=9,13.2,0)</f>
        <v>0</v>
      </c>
      <c r="BX57" s="87">
        <f>IF($I$32=9,17,0)</f>
        <v>0</v>
      </c>
    </row>
    <row r="58" spans="1:76" ht="15" customHeight="1">
      <c r="A58" s="34"/>
      <c r="B58" s="35"/>
      <c r="C58" s="5" t="s">
        <v>3</v>
      </c>
      <c r="D58" s="36" t="s">
        <v>43</v>
      </c>
      <c r="E58" s="36"/>
      <c r="F58" s="36"/>
      <c r="G58" s="36"/>
      <c r="H58" s="39"/>
      <c r="I58" s="8">
        <f>MIN(PI()*$J$29*($J$30/10),PI()*$I$32*($I$33/10))</f>
        <v>22.61946710584651</v>
      </c>
      <c r="J58" s="8">
        <f>MIN(PI()*$I$29*($I$30/10),PI()*$J$32*($J$33/10))</f>
        <v>15.079644737231007</v>
      </c>
      <c r="K58" s="114" t="s">
        <v>124</v>
      </c>
      <c r="L58" s="111"/>
      <c r="AC58" s="10"/>
      <c r="AD58" s="85">
        <f>IF($J$29=12,14.2,0)</f>
        <v>0</v>
      </c>
      <c r="AE58" s="86">
        <f>IF($J$29=12,14.2,0)</f>
        <v>0</v>
      </c>
      <c r="AF58" s="86"/>
      <c r="AG58" s="86">
        <f>IF($J$29=12,14.2,0)</f>
        <v>0</v>
      </c>
      <c r="AH58" s="86">
        <f>IF($J$29=12,14.2,0)</f>
        <v>0</v>
      </c>
      <c r="AI58" s="86"/>
      <c r="AJ58" s="86">
        <f>IF($J$29=9,11.5,0)</f>
        <v>0</v>
      </c>
      <c r="AK58" s="86">
        <f>IF($J$29=9,11.5,0)</f>
        <v>0</v>
      </c>
      <c r="AL58" s="86"/>
      <c r="AM58" s="86">
        <f>IF($J$29=9,11.5,0)</f>
        <v>0</v>
      </c>
      <c r="AN58" s="87">
        <f>IF($J$29=9,11.5,0)</f>
        <v>0</v>
      </c>
      <c r="AO58" s="85">
        <f>IF($I$29=12,46,0)</f>
        <v>0</v>
      </c>
      <c r="AP58" s="86">
        <f>IF($I$29=12,46,0)</f>
        <v>0</v>
      </c>
      <c r="AQ58" s="86"/>
      <c r="AR58" s="86">
        <f>IF($I$29=12,46,0)</f>
        <v>0</v>
      </c>
      <c r="AS58" s="86">
        <f>IF($I$29=12,46,0)</f>
        <v>0</v>
      </c>
      <c r="AT58" s="86"/>
      <c r="AU58" s="86">
        <f>IF($I$29=9,49,0)</f>
        <v>0</v>
      </c>
      <c r="AV58" s="86">
        <f>IF($I$29=9,49,0)</f>
        <v>0</v>
      </c>
      <c r="AW58" s="86"/>
      <c r="AX58" s="86">
        <f>IF($I$29=9,49,0)</f>
        <v>0</v>
      </c>
      <c r="AY58" s="87">
        <f>IF($I$29=9,49,0)</f>
        <v>0</v>
      </c>
      <c r="BC58" s="85">
        <f>IF($J$32=12,14.2,0)</f>
        <v>0</v>
      </c>
      <c r="BD58" s="86">
        <f>IF($J$32=12,14.2,0)</f>
        <v>0</v>
      </c>
      <c r="BE58" s="86"/>
      <c r="BF58" s="86">
        <f>IF($J$32=12,14.2,0)</f>
        <v>0</v>
      </c>
      <c r="BG58" s="86">
        <f>IF($J$32=12,14.2,0)</f>
        <v>0</v>
      </c>
      <c r="BH58" s="86"/>
      <c r="BI58" s="86">
        <f>IF($J$32=9,11.5,0)</f>
        <v>0</v>
      </c>
      <c r="BJ58" s="86">
        <f>IF($J$32=9,11.5,0)</f>
        <v>0</v>
      </c>
      <c r="BK58" s="86"/>
      <c r="BL58" s="86">
        <f>IF($J$32=9,11.5,0)</f>
        <v>0</v>
      </c>
      <c r="BM58" s="87">
        <f>IF($J$32=9,11.5,0)</f>
        <v>0</v>
      </c>
      <c r="BN58" s="85">
        <f>IF($I$32=12,46,0)</f>
        <v>0</v>
      </c>
      <c r="BO58" s="86">
        <f>IF($I$32=12,46,0)</f>
        <v>0</v>
      </c>
      <c r="BP58" s="86"/>
      <c r="BQ58" s="86">
        <f>IF($I$32=12,46,0)</f>
        <v>0</v>
      </c>
      <c r="BR58" s="86">
        <f>IF($I$32=12,46,0)</f>
        <v>0</v>
      </c>
      <c r="BS58" s="86"/>
      <c r="BT58" s="86">
        <f>IF($I$32=9,49,0)</f>
        <v>0</v>
      </c>
      <c r="BU58" s="86">
        <f>IF($I$32=9,49,0)</f>
        <v>0</v>
      </c>
      <c r="BV58" s="86"/>
      <c r="BW58" s="86">
        <f>IF($I$32=9,49,0)</f>
        <v>0</v>
      </c>
      <c r="BX58" s="87">
        <f>IF($I$32=9,49,0)</f>
        <v>0</v>
      </c>
    </row>
    <row r="59" spans="1:76" ht="15" customHeight="1">
      <c r="A59" s="34"/>
      <c r="B59" s="69"/>
      <c r="C59" s="38"/>
      <c r="D59" s="38"/>
      <c r="E59" s="38"/>
      <c r="F59" s="38"/>
      <c r="G59" s="38"/>
      <c r="H59" s="39"/>
      <c r="I59" s="115" t="str">
        <f>IF(I58&gt;=I57,"O.K","แก้ไข")</f>
        <v>O.K</v>
      </c>
      <c r="J59" s="115" t="str">
        <f>IF(J58&gt;=J57,"O.K","แก้ไข")</f>
        <v>O.K</v>
      </c>
      <c r="K59" s="112"/>
      <c r="L59" s="113"/>
      <c r="AC59" s="10"/>
      <c r="AD59" s="85"/>
      <c r="AE59" s="86"/>
      <c r="AF59" s="86"/>
      <c r="AG59" s="86"/>
      <c r="AH59" s="86"/>
      <c r="AI59" s="86"/>
      <c r="AJ59" s="86"/>
      <c r="AK59" s="86"/>
      <c r="AL59" s="86" t="s">
        <v>85</v>
      </c>
      <c r="AM59" s="86"/>
      <c r="AN59" s="87"/>
      <c r="AO59" s="85"/>
      <c r="AP59" s="86"/>
      <c r="AQ59" s="86"/>
      <c r="AR59" s="86"/>
      <c r="AS59" s="86"/>
      <c r="AT59" s="86"/>
      <c r="AU59" s="86"/>
      <c r="AV59" s="86"/>
      <c r="AW59" s="86" t="s">
        <v>85</v>
      </c>
      <c r="AX59" s="86"/>
      <c r="AY59" s="87"/>
      <c r="BC59" s="85"/>
      <c r="BD59" s="86"/>
      <c r="BE59" s="86"/>
      <c r="BF59" s="86"/>
      <c r="BG59" s="86"/>
      <c r="BH59" s="86"/>
      <c r="BI59" s="86"/>
      <c r="BJ59" s="86"/>
      <c r="BK59" s="86" t="s">
        <v>85</v>
      </c>
      <c r="BL59" s="86"/>
      <c r="BM59" s="87"/>
      <c r="BN59" s="85"/>
      <c r="BO59" s="86"/>
      <c r="BP59" s="86"/>
      <c r="BQ59" s="86"/>
      <c r="BR59" s="86"/>
      <c r="BS59" s="86"/>
      <c r="BT59" s="86"/>
      <c r="BU59" s="86"/>
      <c r="BV59" s="86" t="s">
        <v>85</v>
      </c>
      <c r="BW59" s="86"/>
      <c r="BX59" s="87"/>
    </row>
    <row r="60" spans="1:76" ht="13.5" customHeight="1">
      <c r="A60" s="116"/>
      <c r="B60" s="117"/>
      <c r="C60" s="117"/>
      <c r="D60" s="117"/>
      <c r="E60" s="117"/>
      <c r="F60" s="117"/>
      <c r="G60" s="117"/>
      <c r="H60" s="117"/>
      <c r="I60" s="117"/>
      <c r="J60" s="118"/>
      <c r="K60" s="119"/>
      <c r="L60" s="118"/>
      <c r="AC60" s="10"/>
      <c r="AD60" s="85"/>
      <c r="AE60" s="86"/>
      <c r="AF60" s="86"/>
      <c r="AG60" s="86"/>
      <c r="AH60" s="86"/>
      <c r="AI60" s="86"/>
      <c r="AJ60" s="86">
        <f>IF($J$29=7,3,0)</f>
        <v>0</v>
      </c>
      <c r="AK60" s="86"/>
      <c r="AL60" s="86"/>
      <c r="AM60" s="86"/>
      <c r="AN60" s="87">
        <f>IF($J$29=7,17,0)</f>
        <v>0</v>
      </c>
      <c r="AO60" s="85"/>
      <c r="AP60" s="86"/>
      <c r="AQ60" s="86"/>
      <c r="AR60" s="86"/>
      <c r="AS60" s="86"/>
      <c r="AT60" s="86"/>
      <c r="AU60" s="86">
        <f>IF($I$29=7,3,0)</f>
        <v>0</v>
      </c>
      <c r="AV60" s="86"/>
      <c r="AW60" s="86"/>
      <c r="AX60" s="86"/>
      <c r="AY60" s="87">
        <f>IF($I$29=7,17,0)</f>
        <v>0</v>
      </c>
      <c r="BC60" s="85"/>
      <c r="BD60" s="86"/>
      <c r="BE60" s="86"/>
      <c r="BF60" s="86"/>
      <c r="BG60" s="86"/>
      <c r="BH60" s="86"/>
      <c r="BI60" s="86">
        <f>IF($J$32=7,3,0)</f>
        <v>0</v>
      </c>
      <c r="BJ60" s="86"/>
      <c r="BK60" s="86"/>
      <c r="BL60" s="86"/>
      <c r="BM60" s="87">
        <f>IF($J$32=7,17,0)</f>
        <v>0</v>
      </c>
      <c r="BN60" s="85"/>
      <c r="BO60" s="86"/>
      <c r="BP60" s="86"/>
      <c r="BQ60" s="86"/>
      <c r="BR60" s="86"/>
      <c r="BS60" s="86"/>
      <c r="BT60" s="86">
        <f>IF($I$32=7,3,0)</f>
        <v>0</v>
      </c>
      <c r="BU60" s="86"/>
      <c r="BV60" s="86"/>
      <c r="BW60" s="86"/>
      <c r="BX60" s="87">
        <f>IF($I$32=7,17,0)</f>
        <v>0</v>
      </c>
    </row>
    <row r="61" spans="1:76" ht="15.75" customHeight="1">
      <c r="A61" s="116"/>
      <c r="B61" s="117"/>
      <c r="C61" s="117"/>
      <c r="D61" s="117"/>
      <c r="E61" s="117"/>
      <c r="F61" s="117"/>
      <c r="G61" s="117"/>
      <c r="H61" s="117"/>
      <c r="I61" s="117"/>
      <c r="J61" s="118"/>
      <c r="K61" s="119"/>
      <c r="L61" s="118"/>
      <c r="AC61" s="10"/>
      <c r="AD61" s="85"/>
      <c r="AE61" s="86"/>
      <c r="AF61" s="86"/>
      <c r="AG61" s="86"/>
      <c r="AH61" s="86"/>
      <c r="AI61" s="86"/>
      <c r="AJ61" s="86">
        <f>IF($J$29=7,11.5,0)</f>
        <v>0</v>
      </c>
      <c r="AK61" s="86"/>
      <c r="AL61" s="86"/>
      <c r="AM61" s="86"/>
      <c r="AN61" s="87">
        <f>IF($J$29=7,11.5,0)</f>
        <v>0</v>
      </c>
      <c r="AO61" s="85"/>
      <c r="AP61" s="86"/>
      <c r="AQ61" s="86"/>
      <c r="AR61" s="86"/>
      <c r="AS61" s="86"/>
      <c r="AT61" s="86"/>
      <c r="AU61" s="86">
        <f>IF($I$29=7,49,0)</f>
        <v>0</v>
      </c>
      <c r="AV61" s="86"/>
      <c r="AW61" s="86"/>
      <c r="AX61" s="86"/>
      <c r="AY61" s="87">
        <f>IF($I$29=7,49,0)</f>
        <v>0</v>
      </c>
      <c r="BC61" s="85"/>
      <c r="BD61" s="86"/>
      <c r="BE61" s="86"/>
      <c r="BF61" s="86"/>
      <c r="BG61" s="86"/>
      <c r="BH61" s="86"/>
      <c r="BI61" s="86">
        <f>IF($J$32=7,11.5,0)</f>
        <v>0</v>
      </c>
      <c r="BJ61" s="86"/>
      <c r="BK61" s="86"/>
      <c r="BL61" s="86"/>
      <c r="BM61" s="87">
        <f>IF($J$32=7,11.5,0)</f>
        <v>0</v>
      </c>
      <c r="BN61" s="85"/>
      <c r="BO61" s="86"/>
      <c r="BP61" s="86"/>
      <c r="BQ61" s="86"/>
      <c r="BR61" s="86"/>
      <c r="BS61" s="86"/>
      <c r="BT61" s="86">
        <f>IF($I$32=7,49,0)</f>
        <v>0</v>
      </c>
      <c r="BU61" s="86"/>
      <c r="BV61" s="86"/>
      <c r="BW61" s="86"/>
      <c r="BX61" s="87">
        <f>IF($I$32=7,49,0)</f>
        <v>0</v>
      </c>
    </row>
    <row r="62" spans="1:76" ht="14.25" customHeight="1">
      <c r="A62" s="116"/>
      <c r="B62" s="117"/>
      <c r="C62" s="117"/>
      <c r="D62" s="117"/>
      <c r="E62" s="117"/>
      <c r="F62" s="117"/>
      <c r="G62" s="117"/>
      <c r="H62" s="117"/>
      <c r="I62" s="117"/>
      <c r="J62" s="118"/>
      <c r="K62" s="119"/>
      <c r="L62" s="118"/>
      <c r="AC62" s="10"/>
      <c r="AD62" s="83"/>
      <c r="AE62" s="84"/>
      <c r="AF62" s="84"/>
      <c r="AG62" s="84"/>
      <c r="AH62" s="84"/>
      <c r="AI62" s="84"/>
      <c r="AJ62" s="84"/>
      <c r="AK62" s="84"/>
      <c r="AL62" s="84"/>
      <c r="AM62" s="84"/>
      <c r="AN62" s="91"/>
      <c r="AO62" s="83"/>
      <c r="AP62" s="84"/>
      <c r="AQ62" s="84"/>
      <c r="AR62" s="84"/>
      <c r="AS62" s="84"/>
      <c r="AT62" s="84"/>
      <c r="AU62" s="84"/>
      <c r="AV62" s="84"/>
      <c r="AW62" s="84"/>
      <c r="AX62" s="84"/>
      <c r="AY62" s="91"/>
      <c r="BC62" s="83"/>
      <c r="BD62" s="84"/>
      <c r="BE62" s="84"/>
      <c r="BF62" s="84"/>
      <c r="BG62" s="84"/>
      <c r="BH62" s="84"/>
      <c r="BI62" s="84"/>
      <c r="BJ62" s="84"/>
      <c r="BK62" s="84"/>
      <c r="BL62" s="84"/>
      <c r="BM62" s="91"/>
      <c r="BN62" s="83"/>
      <c r="BO62" s="84"/>
      <c r="BP62" s="84"/>
      <c r="BQ62" s="84"/>
      <c r="BR62" s="84"/>
      <c r="BS62" s="84"/>
      <c r="BT62" s="84"/>
      <c r="BU62" s="84"/>
      <c r="BV62" s="84"/>
      <c r="BW62" s="84"/>
      <c r="BX62" s="91"/>
    </row>
    <row r="63" spans="1:76" ht="21">
      <c r="A63" s="116"/>
      <c r="B63" s="117"/>
      <c r="C63" s="117"/>
      <c r="D63" s="120"/>
      <c r="E63" s="121"/>
      <c r="F63" s="122"/>
      <c r="G63" s="117"/>
      <c r="H63" s="117"/>
      <c r="I63" s="118"/>
      <c r="J63" s="123"/>
      <c r="K63" s="124"/>
      <c r="L63" s="125"/>
      <c r="M63" s="117"/>
      <c r="N63" s="117"/>
      <c r="O63" s="117"/>
    </row>
    <row r="64" spans="1:76" ht="10.5" customHeight="1">
      <c r="A64" s="126"/>
      <c r="B64" s="118"/>
      <c r="C64" s="118"/>
      <c r="D64" s="118"/>
      <c r="E64" s="118"/>
      <c r="F64" s="118"/>
      <c r="G64" s="118"/>
      <c r="H64" s="118"/>
      <c r="I64" s="118"/>
      <c r="J64" s="118"/>
      <c r="K64" s="119"/>
      <c r="L64" s="118"/>
    </row>
    <row r="65" spans="1:18">
      <c r="A65" s="127"/>
      <c r="K65" s="128"/>
      <c r="L65" s="117"/>
    </row>
    <row r="66" spans="1:18">
      <c r="A66" s="127"/>
      <c r="K66" s="128"/>
      <c r="L66" s="117"/>
    </row>
    <row r="67" spans="1:18" ht="14.25">
      <c r="A67" s="127"/>
      <c r="E67" s="156"/>
      <c r="F67" s="129"/>
      <c r="J67" s="207"/>
      <c r="K67" s="130"/>
      <c r="L67" s="131"/>
      <c r="P67" s="132"/>
    </row>
    <row r="68" spans="1:18" ht="15">
      <c r="A68" s="127"/>
      <c r="K68" s="128"/>
      <c r="L68" s="117"/>
      <c r="Q68" s="133"/>
    </row>
    <row r="69" spans="1:18" ht="14.25">
      <c r="A69" s="127"/>
      <c r="K69" s="128"/>
      <c r="L69" s="117"/>
      <c r="N69" s="207"/>
      <c r="P69" s="132"/>
    </row>
    <row r="70" spans="1:18">
      <c r="A70" s="127"/>
      <c r="K70" s="128"/>
      <c r="L70" s="117"/>
    </row>
    <row r="71" spans="1:18" ht="15">
      <c r="A71" s="127"/>
      <c r="K71" s="128"/>
      <c r="L71" s="117"/>
      <c r="Q71" s="133"/>
    </row>
    <row r="72" spans="1:18" ht="12.75">
      <c r="A72" s="127"/>
      <c r="D72" s="134"/>
      <c r="E72" s="123"/>
      <c r="F72" s="125"/>
      <c r="J72" s="123"/>
      <c r="K72" s="124"/>
      <c r="L72" s="122"/>
    </row>
    <row r="73" spans="1:18">
      <c r="A73" s="127"/>
      <c r="K73" s="128"/>
      <c r="L73" s="117"/>
    </row>
    <row r="74" spans="1:18" ht="14.25" customHeight="1">
      <c r="A74" s="127"/>
      <c r="K74" s="128"/>
      <c r="L74" s="117"/>
      <c r="Q74" s="133"/>
    </row>
    <row r="75" spans="1:18" ht="10.5" customHeight="1">
      <c r="A75" s="135" t="s">
        <v>129</v>
      </c>
      <c r="B75" s="136"/>
      <c r="C75" s="157" t="s">
        <v>128</v>
      </c>
      <c r="F75" s="125"/>
      <c r="G75" s="160"/>
      <c r="H75" s="161"/>
      <c r="I75" s="161"/>
      <c r="J75" s="161"/>
      <c r="K75" s="167"/>
      <c r="L75" s="162"/>
      <c r="M75" s="159"/>
      <c r="P75" s="226"/>
      <c r="Q75" s="226"/>
      <c r="R75" s="226"/>
    </row>
    <row r="76" spans="1:18" ht="12.75">
      <c r="A76" s="141"/>
      <c r="B76" s="137"/>
      <c r="C76" s="157" t="s">
        <v>125</v>
      </c>
      <c r="F76" s="125"/>
      <c r="G76" s="160"/>
      <c r="H76" s="161"/>
      <c r="I76" s="161"/>
      <c r="J76" s="161"/>
      <c r="K76" s="168"/>
      <c r="L76" s="161"/>
      <c r="M76" s="158"/>
    </row>
    <row r="77" spans="1:18" ht="12.75">
      <c r="A77" s="141"/>
      <c r="B77" s="137"/>
      <c r="C77" s="157" t="s">
        <v>126</v>
      </c>
      <c r="F77" s="125"/>
      <c r="G77" s="160"/>
      <c r="H77" s="161"/>
      <c r="I77" s="161"/>
      <c r="J77" s="161"/>
      <c r="K77" s="168"/>
      <c r="L77" s="161"/>
      <c r="M77" s="158"/>
    </row>
    <row r="78" spans="1:18" ht="14.25" customHeight="1">
      <c r="A78" s="141"/>
      <c r="B78" s="142"/>
      <c r="C78" s="157" t="s">
        <v>127</v>
      </c>
      <c r="F78" s="125"/>
      <c r="G78" s="160"/>
      <c r="H78" s="161"/>
      <c r="I78" s="161"/>
      <c r="J78" s="161"/>
      <c r="K78" s="168"/>
      <c r="L78" s="165"/>
      <c r="M78" s="158"/>
    </row>
    <row r="79" spans="1:18" ht="12" customHeight="1">
      <c r="A79" s="143"/>
      <c r="B79" s="144"/>
      <c r="C79" s="145"/>
      <c r="D79" s="163"/>
      <c r="E79" s="164"/>
      <c r="F79" s="164"/>
      <c r="G79" s="164"/>
      <c r="H79" s="164"/>
      <c r="I79" s="164"/>
      <c r="J79" s="164"/>
      <c r="K79" s="169"/>
      <c r="L79" s="166"/>
    </row>
    <row r="80" spans="1:18" ht="9.75" customHeight="1">
      <c r="J80" s="117"/>
      <c r="K80" s="118"/>
      <c r="L80" s="118"/>
    </row>
    <row r="81" spans="1:12" ht="9" customHeight="1">
      <c r="I81" s="33"/>
      <c r="J81" s="117"/>
      <c r="K81" s="118"/>
      <c r="L81" s="118"/>
    </row>
    <row r="82" spans="1:12" ht="9.75" customHeight="1">
      <c r="J82" s="118"/>
      <c r="K82" s="118"/>
      <c r="L82" s="118"/>
    </row>
    <row r="86" spans="1:12">
      <c r="A86" s="146"/>
      <c r="B86" s="146"/>
      <c r="C86" s="146"/>
      <c r="D86" s="146"/>
      <c r="E86" s="146"/>
      <c r="F86" s="146"/>
      <c r="G86" s="146"/>
      <c r="H86" s="146"/>
      <c r="I86" s="146"/>
      <c r="J86" s="146"/>
      <c r="K86" s="146"/>
    </row>
    <row r="87" spans="1:12" ht="13.5">
      <c r="A87" s="146"/>
      <c r="B87" s="146"/>
      <c r="C87" s="146"/>
      <c r="D87" s="146"/>
      <c r="E87" s="147">
        <f>J29</f>
        <v>8</v>
      </c>
      <c r="F87" s="148" t="str">
        <f>G30</f>
        <v>RB</v>
      </c>
      <c r="G87" s="149">
        <f>J30</f>
        <v>12</v>
      </c>
      <c r="H87" s="150" t="str">
        <f>K30</f>
        <v>mm.</v>
      </c>
      <c r="I87" s="146"/>
      <c r="J87" s="146"/>
      <c r="K87" s="146"/>
    </row>
    <row r="88" spans="1:12" ht="13.5">
      <c r="A88" s="146"/>
      <c r="B88" s="146"/>
      <c r="C88" s="146"/>
      <c r="D88" s="146"/>
      <c r="E88" s="151" t="str">
        <f xml:space="preserve"> " -  "&amp;G30&amp;" "&amp;" "&amp;K30</f>
        <v xml:space="preserve"> -  RB  mm.</v>
      </c>
      <c r="F88" s="146"/>
      <c r="G88" s="146"/>
      <c r="H88" s="146"/>
      <c r="I88" s="146"/>
      <c r="J88" s="146"/>
      <c r="K88" s="146"/>
    </row>
    <row r="89" spans="1:12" ht="13.5">
      <c r="A89" s="146"/>
      <c r="B89" s="146"/>
      <c r="C89" s="146"/>
      <c r="D89" s="146"/>
      <c r="E89" s="151"/>
      <c r="F89" s="146"/>
      <c r="G89" s="146"/>
      <c r="H89" s="146"/>
      <c r="I89" s="146"/>
      <c r="J89" s="146"/>
      <c r="K89" s="146"/>
    </row>
    <row r="90" spans="1:12" ht="12.75">
      <c r="A90" s="208"/>
      <c r="B90" s="208"/>
      <c r="C90" s="208"/>
      <c r="D90" s="208"/>
      <c r="E90" s="208"/>
      <c r="F90" s="208"/>
      <c r="G90" s="208"/>
      <c r="H90" s="208"/>
      <c r="I90" s="208"/>
      <c r="J90" s="208"/>
      <c r="K90" s="208"/>
      <c r="L90" s="118"/>
    </row>
    <row r="91" spans="1:12">
      <c r="A91" s="209" t="s">
        <v>13</v>
      </c>
      <c r="B91" s="210" t="s">
        <v>14</v>
      </c>
      <c r="C91" s="211"/>
      <c r="D91" s="211"/>
      <c r="E91" s="211"/>
      <c r="F91" s="211"/>
      <c r="G91" s="211"/>
      <c r="H91" s="211"/>
      <c r="I91" s="212" t="str">
        <f>IF($J$6="SR-24","     Round","  Deformed")</f>
        <v xml:space="preserve">  Deformed</v>
      </c>
      <c r="J91" s="212" t="str">
        <f>IF($J$6="SR-24","     Round","  Deformed")</f>
        <v xml:space="preserve">  Deformed</v>
      </c>
      <c r="K91" s="211"/>
      <c r="L91" s="117"/>
    </row>
    <row r="92" spans="1:12">
      <c r="A92" s="211"/>
      <c r="B92" s="209" t="s">
        <v>15</v>
      </c>
      <c r="C92" s="211"/>
      <c r="D92" s="211"/>
      <c r="E92" s="211"/>
      <c r="F92" s="211"/>
      <c r="G92" s="211"/>
      <c r="H92" s="213" t="s">
        <v>0</v>
      </c>
      <c r="I92" s="214" t="s">
        <v>16</v>
      </c>
      <c r="J92" s="214" t="s">
        <v>17</v>
      </c>
      <c r="K92" s="211"/>
      <c r="L92" s="117"/>
    </row>
    <row r="93" spans="1:12">
      <c r="A93" s="211"/>
      <c r="B93" s="209" t="s">
        <v>18</v>
      </c>
      <c r="C93" s="211"/>
      <c r="D93" s="211"/>
      <c r="E93" s="211"/>
      <c r="F93" s="211"/>
      <c r="G93" s="211"/>
      <c r="H93" s="213" t="s">
        <v>0</v>
      </c>
      <c r="I93" s="215">
        <f>IF($J$91="  Deformed",2.29*10*(SQRT($J$9))/(J30),(2.29/2)*10*(SQRT($J$9))/(J30))</f>
        <v>25.602978342372591</v>
      </c>
      <c r="J93" s="215">
        <f>IF($J$91="  Deformed",3.23*10*(SQRT($J$9))/($J$30),(3.23/2)*10*(SQRT($J$9))/($J$30))</f>
        <v>36.1124978366216</v>
      </c>
      <c r="K93" s="214" t="s">
        <v>1</v>
      </c>
      <c r="L93" s="152"/>
    </row>
    <row r="94" spans="1:12">
      <c r="A94" s="211"/>
      <c r="B94" s="209" t="s">
        <v>19</v>
      </c>
      <c r="C94" s="211"/>
      <c r="D94" s="211"/>
      <c r="E94" s="211"/>
      <c r="F94" s="211"/>
      <c r="G94" s="211"/>
      <c r="H94" s="213" t="s">
        <v>0</v>
      </c>
      <c r="I94" s="215">
        <f>IF($J$91=" Deformed",MIN(I93,25),MIN(I93,11))</f>
        <v>11</v>
      </c>
      <c r="J94" s="215">
        <f>IF($J$91=" Deformed",MIN(J93,35),MIN(J93,11))</f>
        <v>11</v>
      </c>
      <c r="K94" s="214" t="s">
        <v>1</v>
      </c>
      <c r="L94" s="152"/>
    </row>
    <row r="95" spans="1:12">
      <c r="A95" s="211"/>
      <c r="B95" s="209" t="s">
        <v>20</v>
      </c>
      <c r="C95" s="211"/>
      <c r="D95" s="211"/>
      <c r="E95" s="211"/>
      <c r="F95" s="211"/>
      <c r="G95" s="211"/>
      <c r="H95" s="213" t="s">
        <v>0</v>
      </c>
      <c r="I95" s="215">
        <f>I19/($J$15*I34*I94*100)</f>
        <v>12.629719035412984</v>
      </c>
      <c r="J95" s="215">
        <f>J19/($J$15*J34*J94*100)</f>
        <v>15.317009274713202</v>
      </c>
      <c r="K95" s="214" t="s">
        <v>21</v>
      </c>
      <c r="L95" s="152"/>
    </row>
    <row r="96" spans="1:12">
      <c r="A96" s="211"/>
      <c r="B96" s="209" t="s">
        <v>22</v>
      </c>
      <c r="C96" s="211"/>
      <c r="D96" s="211"/>
      <c r="E96" s="211"/>
      <c r="F96" s="211"/>
      <c r="G96" s="211"/>
      <c r="H96" s="213" t="s">
        <v>0</v>
      </c>
      <c r="I96" s="215">
        <f>PI()*(J29*J30/10+J32*J33/10)</f>
        <v>45.238934211693014</v>
      </c>
      <c r="J96" s="215">
        <f>PI()*(J29*J30/10+J32*J33/10)</f>
        <v>45.238934211693014</v>
      </c>
      <c r="K96" s="214" t="s">
        <v>21</v>
      </c>
      <c r="L96" s="152"/>
    </row>
    <row r="97" spans="1:16">
      <c r="A97" s="211"/>
      <c r="B97" s="209" t="s">
        <v>12</v>
      </c>
      <c r="C97" s="211"/>
      <c r="D97" s="211"/>
      <c r="E97" s="211"/>
      <c r="F97" s="211"/>
      <c r="G97" s="211"/>
      <c r="H97" s="211"/>
      <c r="I97" s="212" t="str">
        <f>IF(I96&gt;I95,"          Ok",IF(I95/I96&lt;1.05,"Reasonable"," Try again"))</f>
        <v xml:space="preserve">          Ok</v>
      </c>
      <c r="J97" s="212" t="str">
        <f>IF(J96&gt;J95,"          Ok",IF(J95/J96&lt;1.05,"Reasonable"," Try again"))</f>
        <v xml:space="preserve">          Ok</v>
      </c>
      <c r="K97" s="211"/>
      <c r="L97" s="117"/>
    </row>
    <row r="98" spans="1:16" ht="19.5" customHeigh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</row>
    <row r="99" spans="1:16" ht="16.5" customHeight="1">
      <c r="A99" s="134"/>
      <c r="B99" s="134"/>
      <c r="C99" s="134"/>
      <c r="D99" s="134"/>
      <c r="E99" s="138"/>
      <c r="F99" s="139"/>
      <c r="G99" s="137"/>
      <c r="H99" s="137"/>
      <c r="I99" s="137"/>
      <c r="J99" s="140"/>
      <c r="K99" s="134"/>
      <c r="L99" s="134"/>
    </row>
    <row r="100" spans="1:16" ht="10.5" customHeight="1">
      <c r="E100" s="138"/>
      <c r="F100" s="139"/>
      <c r="G100" s="137"/>
      <c r="H100" s="137"/>
      <c r="I100" s="137"/>
      <c r="J100" s="137"/>
    </row>
    <row r="101" spans="1:16" ht="12.75">
      <c r="E101" s="138"/>
      <c r="F101" s="139"/>
      <c r="G101" s="137"/>
      <c r="H101" s="137"/>
      <c r="I101" s="137"/>
      <c r="J101" s="137"/>
    </row>
    <row r="102" spans="1:16" ht="14.25">
      <c r="E102" s="138"/>
      <c r="F102" s="139"/>
      <c r="G102" s="137"/>
      <c r="H102" s="137"/>
      <c r="I102" s="137"/>
      <c r="J102" s="137"/>
      <c r="P102" s="153"/>
    </row>
    <row r="103" spans="1:16" ht="12.75">
      <c r="E103" s="138"/>
      <c r="F103" s="139"/>
      <c r="G103" s="137"/>
      <c r="H103" s="137"/>
      <c r="I103" s="137"/>
      <c r="J103" s="137"/>
    </row>
    <row r="107" spans="1:16" ht="12.75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</row>
    <row r="108" spans="1:16" ht="12.75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</row>
    <row r="152" ht="11.1" customHeight="1"/>
    <row r="153" ht="11.1" customHeight="1"/>
    <row r="154" ht="11.1" customHeight="1"/>
    <row r="155" ht="11.1" customHeight="1"/>
    <row r="156" ht="11.1" customHeight="1"/>
    <row r="157" ht="11.1" customHeight="1"/>
    <row r="158" ht="11.1" customHeight="1"/>
    <row r="159" ht="11.1" customHeight="1"/>
    <row r="160" ht="11.1" customHeight="1"/>
    <row r="161" spans="9:12" ht="11.1" customHeight="1"/>
    <row r="162" spans="9:12" ht="11.1" customHeight="1"/>
    <row r="163" spans="9:12" ht="11.1" customHeight="1"/>
    <row r="164" spans="9:12" ht="11.1" customHeight="1"/>
    <row r="165" spans="9:12" ht="11.1" customHeight="1"/>
    <row r="166" spans="9:12" ht="11.1" customHeight="1"/>
    <row r="167" spans="9:12" ht="11.1" customHeight="1">
      <c r="I167" s="154"/>
      <c r="J167" s="154"/>
      <c r="K167" s="154"/>
      <c r="L167" s="154"/>
    </row>
    <row r="168" spans="9:12" ht="11.1" customHeight="1">
      <c r="I168" s="154"/>
      <c r="J168" s="154"/>
      <c r="K168" s="154"/>
      <c r="L168" s="154"/>
    </row>
    <row r="169" spans="9:12" ht="11.1" customHeight="1">
      <c r="I169" s="154"/>
      <c r="J169" s="154"/>
      <c r="K169" s="154"/>
      <c r="L169" s="154"/>
    </row>
    <row r="170" spans="9:12" ht="11.1" customHeight="1">
      <c r="I170" s="154"/>
      <c r="J170" s="154"/>
      <c r="K170" s="154"/>
      <c r="L170" s="154"/>
    </row>
    <row r="171" spans="9:12" ht="11.1" customHeight="1">
      <c r="I171" s="154"/>
      <c r="J171" s="154"/>
      <c r="K171" s="154"/>
      <c r="L171" s="154"/>
    </row>
    <row r="172" spans="9:12" ht="11.1" customHeight="1">
      <c r="I172" s="154"/>
      <c r="J172" s="154"/>
      <c r="K172" s="154"/>
      <c r="L172" s="154"/>
    </row>
    <row r="173" spans="9:12" ht="11.1" customHeight="1">
      <c r="I173" s="154"/>
      <c r="J173" s="154"/>
      <c r="K173" s="154"/>
      <c r="L173" s="154"/>
    </row>
    <row r="174" spans="9:12" ht="11.1" customHeight="1">
      <c r="I174" s="154"/>
      <c r="J174" s="154"/>
      <c r="K174" s="154"/>
      <c r="L174" s="154"/>
    </row>
    <row r="175" spans="9:12" ht="11.1" customHeight="1">
      <c r="I175" s="154"/>
      <c r="J175" s="154"/>
      <c r="K175" s="154"/>
      <c r="L175" s="154"/>
    </row>
    <row r="176" spans="9:12" ht="11.1" customHeight="1">
      <c r="I176" s="154"/>
      <c r="J176" s="154"/>
      <c r="K176" s="154"/>
      <c r="L176" s="154"/>
    </row>
    <row r="177" spans="9:12" ht="11.1" customHeight="1">
      <c r="I177" s="154"/>
      <c r="J177" s="154"/>
      <c r="K177" s="154"/>
      <c r="L177" s="154"/>
    </row>
    <row r="178" spans="9:12" ht="11.1" customHeight="1"/>
    <row r="179" spans="9:12" ht="11.1" customHeight="1"/>
    <row r="180" spans="9:12" ht="12.95" customHeight="1"/>
    <row r="249" spans="11:12">
      <c r="K249" s="155" t="s">
        <v>1</v>
      </c>
      <c r="L249" s="155"/>
    </row>
  </sheetData>
  <sheetProtection selectLockedCells="1"/>
  <mergeCells count="15">
    <mergeCell ref="P75:R75"/>
    <mergeCell ref="I43:J43"/>
    <mergeCell ref="BI30:BM30"/>
    <mergeCell ref="BT30:BX30"/>
    <mergeCell ref="A1:K1"/>
    <mergeCell ref="AJ30:AN30"/>
    <mergeCell ref="AU30:AY30"/>
    <mergeCell ref="I36:J36"/>
    <mergeCell ref="C21:D21"/>
    <mergeCell ref="C2:F2"/>
    <mergeCell ref="C3:F3"/>
    <mergeCell ref="C4:F4"/>
    <mergeCell ref="I2:K2"/>
    <mergeCell ref="I3:K3"/>
    <mergeCell ref="I4:K4"/>
  </mergeCells>
  <dataValidations count="12">
    <dataValidation type="list" allowBlank="1" showInputMessage="1" showErrorMessage="1" sqref="G30 G33">
      <formula1>"RB,DB"</formula1>
    </dataValidation>
    <dataValidation type="list" allowBlank="1" showInputMessage="1" showErrorMessage="1" sqref="J6">
      <formula1>"SR 24,SD 30,SD 40"</formula1>
    </dataValidation>
    <dataValidation type="list" allowBlank="1" showInputMessage="1" showErrorMessage="1" sqref="J9">
      <formula1>"140,150,170,173,180,200,240,250,300,320"</formula1>
    </dataValidation>
    <dataValidation type="list" allowBlank="1" showInputMessage="1" showErrorMessage="1" sqref="J10">
      <formula1>"0.375,0.45"</formula1>
    </dataValidation>
    <dataValidation type="list" allowBlank="1" showInputMessage="1" showErrorMessage="1" sqref="J22">
      <formula1>"0.15,0.20,0.25,0.30"</formula1>
    </dataValidation>
    <dataValidation type="list" allowBlank="1" showInputMessage="1" showErrorMessage="1" sqref="J23">
      <formula1>"0.25,0.30,0.35,0.40,0.45,0.50,0.55,0.60,0.65,0.70"</formula1>
    </dataValidation>
    <dataValidation type="list" allowBlank="1" showInputMessage="1" showErrorMessage="1" sqref="J25">
      <formula1>"1,2,3,4"</formula1>
    </dataValidation>
    <dataValidation type="list" allowBlank="1" showInputMessage="1" showErrorMessage="1" sqref="J26">
      <formula1>"0.025,0.03,0.04,0.05"</formula1>
    </dataValidation>
    <dataValidation type="list" allowBlank="1" showInputMessage="1" showErrorMessage="1" sqref="I30 J33">
      <formula1>"9,10,12,15,16,19,20,25,28,32"</formula1>
    </dataValidation>
    <dataValidation type="list" allowBlank="1" showInputMessage="1" showErrorMessage="1" sqref="J30">
      <formula1>"9,12,15,16,19,20,25,28,32"</formula1>
    </dataValidation>
    <dataValidation type="list" allowBlank="1" showInputMessage="1" showErrorMessage="1" sqref="I29 I32:I33">
      <formula1>"2,3,4,5,6,7,8,9,10,11,12,13,14,15"</formula1>
    </dataValidation>
    <dataValidation type="list" allowBlank="1" showInputMessage="1" showErrorMessage="1" sqref="J29 J32">
      <formula1>"1,2,3,4,5,6,7,8,9,10,11,12,13,14,15"</formula1>
    </dataValidation>
  </dataValidations>
  <pageMargins left="1.3779527559055118" right="0.59055118110236227" top="0.55118110236220474" bottom="0.39370078740157483" header="0.51181102362204722" footer="0.51181102362204722"/>
  <pageSetup paperSize="9" scale="70" orientation="portrait" r:id="rId1"/>
  <headerFooter alignWithMargins="0"/>
  <drawing r:id="rId2"/>
  <legacyDrawing r:id="rId3"/>
  <oleObjects>
    <oleObject progId="Equation.DSMT4" shapeId="6145" r:id="rId4"/>
    <oleObject progId="Equation.DSMT4" shapeId="6147" r:id="rId5"/>
    <oleObject progId="Equation.DSMT4" shapeId="6152" r:id="rId6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37</vt:i4>
      </vt:variant>
    </vt:vector>
  </HeadingPairs>
  <TitlesOfParts>
    <vt:vector size="38" baseType="lpstr">
      <vt:lpstr>B-1</vt:lpstr>
      <vt:lpstr>'B-1'!AS_POSP</vt:lpstr>
      <vt:lpstr>'B-1'!AS_POSR</vt:lpstr>
      <vt:lpstr>'B-1'!ASMPOSP</vt:lpstr>
      <vt:lpstr>'B-1'!ASMPOSR</vt:lpstr>
      <vt:lpstr>'B-1'!ASPOSP</vt:lpstr>
      <vt:lpstr>'B-1'!ASPOSR</vt:lpstr>
      <vt:lpstr>'B-1'!B</vt:lpstr>
      <vt:lpstr>'B-1'!COVER</vt:lpstr>
      <vt:lpstr>'B-1'!DNEG</vt:lpstr>
      <vt:lpstr>'B-1'!DPOS</vt:lpstr>
      <vt:lpstr>'B-1'!EC</vt:lpstr>
      <vt:lpstr>'B-1'!ES</vt:lpstr>
      <vt:lpstr>'B-1'!FACTOR</vt:lpstr>
      <vt:lpstr>'B-1'!FC</vt:lpstr>
      <vt:lpstr>'B-1'!FC_</vt:lpstr>
      <vt:lpstr>'B-1'!FS</vt:lpstr>
      <vt:lpstr>'B-1'!J</vt:lpstr>
      <vt:lpstr>'B-1'!K</vt:lpstr>
      <vt:lpstr>'B-1'!L</vt:lpstr>
      <vt:lpstr>'B-1'!MNEG</vt:lpstr>
      <vt:lpstr>'B-1'!MPOS</vt:lpstr>
      <vt:lpstr>'B-1'!MRNEG</vt:lpstr>
      <vt:lpstr>'B-1'!MRPOS</vt:lpstr>
      <vt:lpstr>'B-1'!N</vt:lpstr>
      <vt:lpstr>'B-1'!Print_Area</vt:lpstr>
      <vt:lpstr>'B-1'!Print_Area_MI</vt:lpstr>
      <vt:lpstr>'B-1'!Print_Titles</vt:lpstr>
      <vt:lpstr>'B-1'!R_</vt:lpstr>
      <vt:lpstr>'B-1'!T</vt:lpstr>
      <vt:lpstr>'B-1'!UOTH</vt:lpstr>
      <vt:lpstr>'B-1'!UOTHA</vt:lpstr>
      <vt:lpstr>'B-1'!UUP</vt:lpstr>
      <vt:lpstr>'B-1'!UUPA</vt:lpstr>
      <vt:lpstr>'B-1'!VNEG</vt:lpstr>
      <vt:lpstr>'B-1'!VPNEG</vt:lpstr>
      <vt:lpstr>'B-1'!VPOS</vt:lpstr>
      <vt:lpstr>'B-1'!VPPOS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TUY</cp:lastModifiedBy>
  <cp:lastPrinted>2011-01-20T14:16:13Z</cp:lastPrinted>
  <dcterms:created xsi:type="dcterms:W3CDTF">2004-03-22T01:45:03Z</dcterms:created>
  <dcterms:modified xsi:type="dcterms:W3CDTF">2011-03-22T05:08:33Z</dcterms:modified>
</cp:coreProperties>
</file>